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<sst xmlns="http://schemas.openxmlformats.org/spreadsheetml/2006/main" count="3662" uniqueCount="2966">
  <si>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</si>
  <si>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</si>
  <si>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</si>
  <si>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</si>
  <si>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</si>
  <si>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</si>
  <si>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</si>
  <si>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</si>
  <si>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</si>
  <si>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</si>
  <si>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</si>
  <si>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</si>
  <si>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</si>
  <si>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</si>
  <si>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</si>
  <si>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</si>
  <si>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</si>
  <si>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</si>
  <si>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</si>
  <si>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</si>
  <si>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</si>
  <si>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</si>
  <si>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</si>
  <si>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</si>
  <si>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</si>
  <si>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</si>
  <si>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</si>
  <si>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</si>
  <si>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</si>
  <si>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</si>
  <si>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</si>
  <si>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</si>
  <si>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</si>
  <si>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</si>
  <si>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</si>
  <si>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</si>
  <si>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</si>
  <si>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</si>
  <si>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</si>
  <si>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</si>
  <si>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</si>
  <si>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</si>
  <si>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</si>
  <si>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</si>
  <si>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</si>
  <si>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</si>
  <si>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</si>
  <si>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</si>
  <si>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</si>
  <si>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</si>
  <si>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</si>
  <si>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</si>
  <si>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</si>
  <si>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</si>
  <si>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</si>
  <si>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</si>
  <si>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</si>
  <si>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</si>
  <si>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</si>
  <si>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</si>
  <si>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</si>
  <si>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</si>
  <si>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</si>
  <si>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</si>
  <si>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</si>
  <si>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</si>
  <si>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</si>
  <si>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</si>
  <si>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</si>
  <si>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</si>
  <si>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</si>
  <si>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</si>
  <si>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</si>
  <si>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</si>
  <si>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</si>
  <si>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</si>
  <si>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</si>
  <si>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</si>
  <si>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</si>
  <si>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</si>
  <si>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</si>
  <si>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</si>
  <si>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</si>
  <si>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</si>
  <si>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</si>
  <si>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</si>
  <si>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</si>
  <si>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</si>
  <si>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</si>
  <si>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</si>
  <si>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</si>
  <si>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</si>
  <si>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</si>
  <si>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</si>
  <si>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</si>
  <si>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</si>
  <si>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</si>
  <si>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</si>
  <si>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</si>
  <si>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</si>
  <si>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</si>
  <si>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</si>
  <si>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</si>
  <si>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</si>
  <si>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</si>
  <si>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</si>
  <si>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</si>
  <si>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</si>
  <si>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</si>
  <si>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</si>
  <si>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</si>
  <si>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</si>
  <si>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</si>
  <si>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</si>
  <si>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</si>
  <si>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</si>
  <si>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</si>
  <si>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</si>
  <si>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</si>
  <si>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</si>
  <si>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</si>
  <si>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</si>
  <si>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</si>
  <si>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</si>
  <si>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</si>
  <si>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</si>
  <si>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</si>
  <si>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</si>
  <si>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</si>
  <si>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</si>
  <si>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</si>
  <si>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</si>
  <si>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</si>
  <si>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</si>
  <si>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</si>
  <si>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</si>
  <si>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</si>
  <si>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</si>
  <si>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</si>
  <si>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</si>
  <si>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</si>
  <si>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</si>
  <si>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</si>
  <si>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</si>
  <si>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</si>
  <si>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</si>
  <si>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</si>
  <si>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</si>
  <si>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</si>
  <si>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</si>
  <si>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</si>
  <si>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</si>
  <si>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</si>
  <si>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</si>
  <si>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</si>
  <si>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</si>
  <si>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</si>
  <si>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</si>
  <si>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</si>
  <si>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</si>
  <si>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</si>
  <si>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</si>
  <si>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</si>
  <si>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</si>
  <si>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</si>
  <si>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</si>
  <si>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</si>
  <si>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</si>
  <si>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</si>
  <si>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</si>
  <si>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</si>
  <si>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</si>
  <si>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</si>
  <si>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</si>
  <si>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</si>
  <si>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</si>
  <si>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</si>
  <si>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</si>
  <si>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</si>
  <si>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</si>
  <si>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</si>
  <si>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</si>
  <si>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</si>
  <si>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</si>
  <si>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</si>
  <si>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</si>
  <si>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</si>
  <si>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</si>
  <si>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</si>
  <si>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</si>
  <si>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</si>
  <si>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</si>
  <si>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</si>
  <si>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</si>
  <si>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</si>
  <si>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</si>
  <si>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</si>
  <si>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</si>
  <si>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</si>
  <si>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</si>
  <si>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</si>
  <si>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</si>
  <si>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</si>
  <si>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</si>
  <si>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</si>
  <si>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</si>
  <si>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</si>
  <si>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</si>
  <si>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</si>
  <si>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</si>
  <si>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</si>
  <si>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</si>
  <si>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</si>
  <si>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</si>
  <si>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</si>
  <si>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</si>
  <si>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</si>
  <si>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</si>
  <si>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</si>
  <si>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</si>
  <si>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</si>
  <si>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</si>
  <si>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</si>
  <si>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</si>
  <si>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</si>
  <si>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</si>
  <si>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</si>
  <si>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</si>
  <si>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</si>
  <si>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</si>
  <si>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</si>
  <si>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</si>
  <si>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</si>
  <si>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</si>
  <si>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</si>
  <si>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</si>
  <si>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</si>
  <si>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</si>
  <si>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</si>
  <si>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</si>
  <si>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</si>
  <si>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</si>
  <si>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</si>
  <si>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</si>
  <si>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</si>
  <si>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</si>
  <si>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</si>
  <si>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</si>
  <si>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</si>
  <si>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</si>
  <si>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</si>
  <si>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</si>
  <si>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</si>
  <si>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</si>
  <si>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</si>
  <si>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</si>
  <si>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</si>
  <si>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</si>
  <si>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</si>
  <si>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</si>
  <si>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</si>
  <si>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</si>
  <si>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</si>
  <si>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</si>
  <si>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</si>
  <si>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</si>
  <si>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</si>
  <si>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</si>
  <si>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</si>
  <si>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</si>
  <si>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</si>
  <si>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</si>
  <si>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</si>
  <si>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</si>
  <si>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</si>
  <si>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</si>
  <si>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</si>
  <si>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</si>
  <si>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</si>
  <si>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</si>
  <si>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</si>
  <si>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</si>
  <si>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</si>
  <si>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</si>
  <si>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</si>
  <si>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</si>
  <si>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</si>
  <si>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</si>
  <si>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</si>
  <si>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</si>
  <si>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</si>
  <si>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</si>
  <si>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</si>
  <si>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</si>
  <si>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</si>
  <si>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</si>
  <si>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</si>
  <si>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</si>
  <si>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</si>
  <si>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</si>
  <si>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</si>
  <si>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</si>
  <si>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</si>
  <si>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</si>
  <si>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</si>
  <si>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</si>
  <si>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</si>
  <si>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</si>
  <si>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</si>
  <si>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</si>
  <si>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</si>
  <si>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</si>
  <si>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</si>
  <si>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</si>
  <si>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</si>
  <si>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</si>
  <si>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</si>
  <si>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</si>
  <si>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</si>
  <si>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</si>
  <si>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</si>
  <si>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</si>
  <si>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</si>
  <si>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</si>
  <si>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</si>
  <si>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</si>
  <si>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</si>
  <si>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</si>
  <si>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</si>
  <si>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</si>
  <si>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</si>
  <si>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</si>
  <si>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</si>
  <si>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</si>
  <si>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</si>
  <si>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</si>
  <si>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</si>
  <si>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</si>
  <si>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</si>
  <si>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</si>
  <si>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</si>
  <si>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</si>
  <si>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</si>
  <si>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</si>
  <si>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</si>
  <si>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</si>
  <si>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</si>
  <si>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</si>
  <si>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</si>
  <si>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</si>
  <si>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</si>
  <si>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</si>
  <si>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</si>
  <si>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</si>
  <si>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</si>
  <si>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</si>
  <si>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</si>
  <si>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</si>
  <si>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</si>
  <si>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</si>
  <si>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</si>
  <si>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</si>
  <si>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</si>
  <si>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</si>
  <si>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</si>
  <si>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</si>
  <si>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</si>
  <si>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</si>
  <si>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</si>
  <si>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</si>
  <si>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</si>
  <si>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</si>
  <si>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</si>
  <si>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</si>
  <si>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</si>
  <si>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</si>
  <si>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</si>
  <si>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</si>
  <si>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</si>
  <si>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</si>
  <si>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</si>
  <si>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</si>
  <si>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</si>
  <si>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</si>
  <si>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</si>
  <si>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</si>
  <si>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</si>
  <si>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</si>
  <si>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</si>
  <si>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</si>
  <si>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</si>
  <si>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</si>
  <si>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</si>
  <si>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</si>
  <si>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</si>
  <si>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</si>
  <si>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</si>
  <si>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</si>
  <si>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</si>
  <si>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</si>
  <si>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</si>
  <si>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</si>
  <si>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</si>
  <si>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</si>
  <si>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</si>
  <si>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</si>
  <si>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</si>
  <si>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</si>
  <si>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</si>
  <si>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</si>
  <si>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</si>
  <si>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</si>
  <si>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</si>
  <si>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</si>
  <si>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</si>
  <si>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</si>
  <si>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</si>
  <si>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</si>
  <si>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</si>
  <si>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</si>
  <si>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</si>
  <si>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</si>
  <si>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</si>
  <si>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</si>
  <si>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</si>
  <si>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</si>
  <si>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</si>
  <si>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</si>
  <si>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</si>
  <si>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</si>
  <si>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</si>
  <si>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</si>
  <si>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</si>
  <si>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</si>
  <si>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</si>
  <si>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</si>
  <si>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</si>
  <si>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</si>
  <si>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</si>
  <si>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</si>
  <si>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</si>
  <si>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</si>
  <si>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</si>
  <si>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</si>
  <si>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</si>
  <si>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</si>
  <si>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</si>
  <si>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</si>
  <si>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</si>
  <si>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</si>
  <si>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</si>
  <si>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</si>
  <si>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</si>
  <si>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</si>
  <si>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</si>
  <si>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</si>
  <si>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</si>
  <si>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</si>
  <si>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</si>
  <si>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</si>
  <si>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</si>
  <si>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</si>
  <si>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</si>
  <si>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</si>
  <si>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</si>
  <si>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</si>
  <si>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</si>
  <si>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</si>
  <si>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</si>
  <si>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</si>
  <si>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</si>
  <si>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</si>
  <si>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</si>
  <si>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</si>
  <si>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</si>
  <si>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</si>
  <si>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</si>
  <si>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</si>
  <si>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</si>
  <si>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</si>
  <si>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</si>
  <si>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</si>
  <si>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</si>
  <si>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</si>
  <si>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</si>
  <si>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</si>
  <si>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</si>
  <si>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</si>
  <si>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</si>
  <si>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</si>
  <si>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</si>
  <si>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</si>
  <si>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</si>
  <si>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</si>
  <si>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</si>
  <si>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</si>
  <si>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</si>
  <si>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</si>
  <si>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</si>
  <si>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</si>
  <si>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</si>
  <si>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</si>
  <si>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</si>
  <si>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</si>
  <si>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</si>
  <si>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</si>
  <si>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</si>
  <si>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</si>
  <si>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</si>
  <si>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</si>
  <si>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</si>
  <si>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</si>
  <si>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</si>
  <si>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</si>
  <si>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</si>
  <si>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</si>
  <si>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</si>
  <si>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</si>
  <si>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</si>
  <si>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</si>
  <si>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</si>
  <si>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</si>
  <si>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</si>
  <si>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</si>
  <si>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</si>
  <si>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</si>
  <si>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</si>
  <si>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</si>
  <si>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</si>
  <si>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</si>
  <si>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</si>
  <si>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</si>
  <si>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</si>
  <si>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</si>
  <si>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</si>
  <si>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</si>
  <si>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</si>
  <si>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</si>
  <si>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</si>
  <si>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</si>
  <si>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</si>
  <si>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</si>
  <si>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</si>
  <si>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</si>
  <si>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</si>
  <si>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</si>
  <si>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</si>
  <si>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</si>
  <si>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</si>
  <si>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</si>
  <si>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</si>
  <si>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</si>
  <si>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</si>
  <si>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</si>
  <si>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</si>
  <si>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</si>
  <si>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</si>
  <si>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</si>
  <si>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</si>
  <si>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</si>
  <si>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</si>
  <si>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</si>
  <si>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</si>
  <si>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</si>
  <si>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</si>
  <si>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</si>
  <si>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</si>
  <si>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</si>
  <si>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</si>
  <si>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</si>
  <si>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</si>
  <si>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</si>
  <si>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</si>
  <si>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</si>
  <si>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</si>
  <si>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</si>
  <si>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</si>
  <si>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</si>
  <si>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</si>
  <si>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</si>
  <si>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</si>
  <si>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</si>
  <si>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</si>
  <si>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</si>
  <si>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</si>
  <si>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</si>
  <si>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</si>
  <si>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</si>
  <si>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</si>
  <si>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</si>
  <si>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</si>
  <si>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</si>
  <si>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</si>
  <si>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</si>
  <si>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</si>
  <si>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</si>
  <si>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</si>
  <si>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</si>
  <si>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</si>
  <si>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</si>
  <si>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</si>
  <si>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</si>
  <si>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</si>
  <si>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</si>
  <si>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</si>
  <si>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</si>
  <si>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</si>
  <si>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</si>
  <si>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</si>
  <si>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</si>
  <si>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</si>
  <si>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</si>
  <si>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</si>
  <si>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</si>
  <si>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</si>
  <si>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</si>
  <si>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</si>
  <si>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</si>
  <si>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</si>
  <si>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</si>
  <si>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</si>
  <si>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</si>
  <si>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</si>
  <si>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</si>
  <si>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</si>
  <si>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</si>
  <si>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</si>
  <si>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</si>
  <si>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</si>
  <si>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</si>
  <si>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</si>
  <si>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</si>
  <si>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</si>
  <si>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</si>
  <si>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</si>
  <si>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</si>
  <si>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</si>
  <si>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</si>
  <si>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</si>
  <si>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</si>
  <si>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</si>
  <si>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</si>
  <si>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</si>
  <si>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</si>
  <si>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</si>
  <si>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</si>
  <si>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</si>
  <si>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</si>
  <si>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</si>
  <si>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</si>
  <si>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</si>
  <si>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</si>
  <si>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</si>
  <si>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</si>
  <si>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</si>
  <si>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</si>
  <si>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</si>
  <si>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</si>
  <si>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</si>
  <si>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</si>
  <si>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</si>
  <si>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</si>
  <si>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</si>
  <si>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</si>
  <si>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</si>
  <si>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</si>
  <si>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</si>
  <si>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</si>
  <si>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</si>
  <si>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</si>
  <si>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</si>
  <si>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</si>
  <si>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</si>
  <si>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</si>
  <si>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</si>
  <si>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</si>
  <si>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</si>
  <si>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</si>
  <si>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</si>
  <si>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</si>
  <si>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</si>
  <si>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</si>
  <si>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</si>
  <si>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</si>
  <si>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</si>
  <si>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</si>
  <si>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</si>
  <si>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</si>
  <si>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</si>
  <si>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</si>
  <si>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</si>
  <si>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</si>
  <si>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</si>
  <si>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</si>
  <si>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</si>
  <si>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</si>
  <si>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</si>
  <si>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</si>
  <si>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</si>
  <si>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</si>
  <si>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</si>
  <si>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</si>
  <si>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</si>
  <si>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</si>
  <si>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</si>
  <si>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</si>
  <si>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</si>
  <si>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</si>
  <si>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</si>
  <si>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</si>
  <si>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</si>
  <si>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</si>
  <si>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</si>
  <si>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</si>
  <si>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</si>
  <si>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</si>
  <si>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</si>
  <si>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</si>
  <si>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</si>
  <si>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</si>
  <si>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</si>
  <si>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</si>
  <si>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</si>
  <si>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</si>
  <si>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</si>
  <si>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</si>
  <si>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</si>
  <si>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</si>
  <si>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</si>
  <si>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</si>
  <si>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</si>
  <si>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</si>
  <si>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</si>
  <si>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</si>
  <si>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</si>
  <si>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</si>
  <si>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</si>
  <si>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</si>
  <si>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</si>
  <si>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</si>
  <si>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</si>
  <si>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</si>
  <si>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</si>
  <si>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</si>
  <si>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</si>
  <si>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</si>
  <si>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</si>
  <si>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</si>
  <si>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</si>
  <si>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</si>
  <si>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</si>
  <si>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</si>
  <si>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</si>
  <si>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</si>
  <si>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</si>
  <si>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</si>
  <si>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</si>
  <si>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</si>
  <si>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</si>
  <si>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</si>
  <si>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</si>
  <si>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</si>
  <si>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</si>
  <si>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</si>
  <si>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</si>
  <si>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</si>
  <si>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</si>
  <si>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</si>
  <si>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</si>
  <si>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</si>
  <si>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</si>
  <si>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</si>
  <si>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</si>
  <si>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</si>
  <si>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</si>
  <si>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</si>
  <si>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</si>
  <si>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</si>
  <si>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</si>
  <si>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</si>
  <si>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</si>
  <si>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</si>
  <si>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</si>
  <si>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</si>
  <si>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</si>
  <si>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</si>
  <si>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</si>
  <si>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</si>
  <si>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</si>
  <si>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</si>
  <si>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</si>
  <si>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</si>
  <si>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</si>
  <si>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</si>
  <si>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</si>
  <si>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</si>
  <si>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</si>
  <si>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</si>
  <si>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</si>
  <si>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</si>
  <si>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</si>
  <si>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</si>
  <si>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</si>
  <si>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</si>
  <si>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</si>
  <si>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</si>
  <si>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</si>
  <si>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</si>
  <si>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</si>
  <si>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</si>
  <si>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</si>
  <si>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</si>
  <si>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</si>
  <si>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</si>
  <si>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</si>
  <si>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</si>
  <si>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</si>
  <si>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</si>
  <si>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</si>
  <si>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</si>
  <si>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</si>
  <si>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</si>
  <si>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</si>
  <si>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</si>
  <si>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</si>
  <si>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</si>
  <si>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</si>
  <si>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</si>
  <si>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</si>
  <si>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</si>
  <si>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</si>
  <si>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</si>
  <si>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</si>
  <si>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</si>
  <si>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</si>
  <si>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</si>
  <si>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</si>
  <si>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</si>
  <si>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</si>
  <si>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</si>
  <si>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</si>
  <si>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</si>
  <si>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</si>
  <si>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</si>
  <si>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</si>
  <si>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</si>
  <si>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</si>
  <si>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</si>
  <si>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</si>
  <si>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</si>
  <si>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</si>
  <si>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</si>
  <si>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</si>
  <si>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</si>
  <si>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</si>
  <si>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</si>
  <si>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</si>
  <si>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</si>
  <si>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</si>
  <si>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</si>
  <si>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</si>
  <si>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</si>
  <si>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</si>
  <si>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</si>
  <si>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</si>
  <si>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</si>
  <si>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</si>
  <si>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</si>
  <si>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</si>
  <si>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</si>
  <si>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</si>
  <si>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</si>
  <si>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</si>
  <si>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</si>
  <si>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</si>
  <si>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</si>
  <si>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</si>
  <si>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</si>
  <si>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</si>
  <si>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</si>
  <si>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</si>
  <si>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</si>
  <si>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</si>
  <si>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</si>
  <si>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</si>
  <si>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</si>
  <si>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</si>
  <si>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</si>
  <si>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</si>
  <si>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</si>
  <si>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</si>
  <si>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</si>
  <si>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</si>
  <si>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</si>
  <si>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</si>
  <si>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</si>
  <si>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</si>
  <si>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</si>
  <si>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</si>
  <si>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</si>
  <si>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</si>
  <si>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</si>
  <si>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</si>
  <si>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</si>
  <si>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</si>
  <si>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</si>
  <si>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</si>
  <si>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</si>
  <si>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</si>
  <si>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</si>
  <si>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</si>
  <si>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</si>
  <si>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</si>
  <si>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</si>
  <si>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</si>
  <si>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</si>
  <si>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</si>
  <si>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</si>
  <si>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</si>
  <si>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</si>
  <si>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</si>
  <si>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</si>
  <si>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</si>
  <si>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</si>
  <si>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</si>
  <si>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</si>
  <si>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</si>
  <si>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</si>
  <si>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</si>
  <si>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</si>
  <si>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</si>
  <si>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</si>
  <si>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</si>
  <si>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</si>
  <si>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</si>
  <si>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</si>
  <si>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</si>
  <si>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</si>
  <si>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</si>
  <si>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</si>
  <si>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</si>
  <si>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</si>
  <si>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</si>
  <si>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</si>
  <si>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</si>
  <si>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</si>
  <si>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</si>
  <si>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</si>
  <si>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</si>
  <si>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</si>
  <si>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</si>
  <si>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</si>
  <si>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</si>
  <si>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</si>
  <si>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</si>
  <si>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</si>
  <si>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</si>
  <si>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</si>
  <si>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</si>
  <si>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</si>
  <si>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</si>
  <si>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</si>
  <si>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</si>
  <si>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</si>
  <si>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</si>
  <si>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</si>
  <si>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</si>
  <si>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</si>
  <si>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</si>
  <si>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</si>
  <si>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</si>
  <si>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</si>
  <si>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</si>
  <si>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</si>
  <si>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</si>
  <si>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</si>
  <si>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</si>
  <si>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</si>
  <si>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</si>
  <si>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</si>
  <si>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</si>
  <si>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</si>
  <si>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</si>
  <si>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</si>
  <si>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</si>
  <si>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</si>
  <si>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</si>
  <si>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</si>
  <si>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</si>
  <si>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</si>
  <si>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</si>
  <si>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</si>
  <si>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</si>
  <si>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</si>
  <si>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</si>
  <si>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</si>
  <si>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</si>
  <si>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</si>
  <si>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</si>
  <si>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</si>
  <si>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</si>
  <si>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</si>
  <si>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</si>
  <si>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</si>
  <si>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</si>
  <si>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</si>
  <si>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</si>
  <si>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</si>
  <si>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</si>
  <si>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</si>
  <si>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</si>
  <si>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</si>
  <si>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</si>
  <si>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</si>
  <si>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</si>
  <si>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</si>
  <si>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</si>
  <si>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</si>
  <si>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</si>
  <si>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</si>
  <si>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</si>
  <si>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</si>
  <si>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</si>
  <si>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</si>
  <si>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</si>
  <si>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</si>
  <si>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</si>
  <si>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</si>
  <si>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</si>
  <si>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</si>
  <si>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</si>
  <si>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</si>
  <si>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</si>
  <si>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</si>
  <si>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</si>
  <si>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</si>
  <si>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</si>
  <si>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</si>
  <si>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</si>
  <si>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</si>
  <si>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</si>
  <si>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</si>
  <si>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</si>
  <si>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</si>
  <si>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</si>
  <si>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</si>
  <si>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</si>
  <si>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</si>
  <si>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</si>
  <si>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</si>
  <si>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</si>
  <si>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</si>
  <si>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</si>
  <si>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</si>
  <si>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</si>
  <si>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</si>
  <si>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</si>
  <si>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</si>
  <si>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</si>
  <si>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</si>
  <si>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</si>
  <si>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</si>
  <si>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</si>
  <si>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</si>
  <si>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</si>
  <si>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</si>
  <si>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</si>
  <si>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</si>
  <si>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</si>
  <si>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</si>
  <si>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</si>
  <si>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</si>
  <si>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</si>
  <si>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</si>
  <si>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</si>
  <si>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</si>
  <si>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</si>
  <si>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</si>
  <si>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</si>
  <si>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</si>
  <si>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</si>
  <si>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</si>
  <si>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</si>
  <si>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</si>
  <si>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</si>
  <si>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</si>
  <si>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</si>
  <si>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</si>
  <si>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</si>
  <si>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</si>
  <si>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</si>
  <si>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</si>
  <si>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</si>
  <si>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</si>
  <si>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</si>
  <si>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</si>
  <si>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</si>
  <si>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</si>
  <si>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</si>
  <si>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</si>
  <si>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</si>
  <si>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</si>
  <si>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</si>
  <si>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</si>
  <si>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</si>
  <si>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</si>
  <si>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</si>
  <si>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</si>
  <si>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</si>
  <si>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</si>
  <si>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</si>
  <si>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</si>
  <si>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</si>
  <si>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</si>
  <si>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</si>
  <si>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</si>
  <si>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</si>
  <si>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</si>
  <si>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</si>
  <si>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</si>
  <si>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</si>
  <si>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</si>
  <si>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</si>
  <si>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</si>
  <si>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</si>
  <si>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</si>
  <si>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</si>
  <si>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</si>
  <si>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</si>
  <si>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</si>
  <si>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</si>
  <si>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</si>
  <si>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</si>
  <si>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</si>
  <si>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</si>
  <si>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</si>
  <si>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</si>
  <si>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</si>
  <si>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</si>
  <si>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</si>
  <si>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</si>
  <si>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</si>
  <si>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</si>
  <si>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</si>
  <si>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</si>
  <si>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</si>
  <si>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</si>
  <si>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</si>
  <si>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</si>
  <si>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</si>
  <si>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</si>
  <si>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</si>
  <si>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</si>
  <si>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</si>
  <si>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</si>
  <si>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</si>
  <si>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</si>
  <si>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</si>
  <si>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</si>
  <si>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</si>
  <si>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</si>
  <si>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</si>
  <si>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</si>
  <si>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</si>
  <si>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</si>
  <si>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</si>
  <si>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</si>
  <si>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</si>
  <si>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</si>
  <si>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</si>
  <si>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</si>
  <si>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</si>
  <si>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</si>
  <si>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</si>
  <si>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</si>
  <si>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</si>
  <si>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</si>
  <si>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</si>
  <si>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</si>
  <si>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</si>
  <si>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</si>
  <si>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</si>
  <si>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</si>
  <si>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</si>
  <si>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</si>
  <si>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</si>
  <si>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</si>
  <si>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</si>
  <si>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</si>
  <si>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</si>
  <si>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</si>
  <si>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</si>
  <si>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</si>
  <si>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</si>
  <si>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</si>
  <si>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</si>
  <si>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</si>
  <si>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</si>
  <si>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</si>
  <si>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</si>
  <si>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</si>
  <si>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</si>
  <si>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</si>
  <si>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</si>
  <si>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</si>
  <si>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</si>
  <si>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</si>
  <si>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</si>
  <si>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</si>
  <si>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</si>
  <si>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</si>
  <si>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</si>
  <si>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</si>
  <si>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</si>
  <si>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</si>
  <si>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</si>
  <si>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</si>
  <si>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</si>
  <si>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</si>
  <si>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</si>
  <si>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</si>
  <si>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</si>
  <si>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</si>
  <si>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</si>
  <si>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</si>
  <si>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</si>
  <si>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</si>
  <si>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</si>
  <si>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</si>
  <si>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</si>
  <si>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</si>
  <si>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</si>
  <si>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</si>
  <si>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</si>
  <si>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</si>
  <si>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</si>
  <si>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</si>
  <si>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</si>
  <si>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</si>
  <si>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</si>
  <si>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</si>
  <si>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</si>
  <si>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</si>
  <si>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</si>
  <si>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</si>
  <si>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</si>
  <si>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</si>
  <si>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</si>
  <si>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</si>
  <si>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</si>
  <si>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</si>
  <si>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</si>
  <si>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</si>
  <si>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</si>
  <si>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</si>
  <si>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</si>
  <si>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</si>
  <si>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</si>
  <si>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</si>
  <si>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</si>
  <si>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</si>
  <si>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</si>
  <si>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</si>
  <si>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</si>
  <si>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</si>
  <si>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</si>
  <si>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</si>
  <si>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</si>
  <si>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</si>
  <si>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</si>
  <si>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</si>
  <si>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</si>
  <si>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</si>
  <si>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</si>
  <si>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</si>
  <si>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</si>
  <si>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</si>
  <si>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</si>
  <si>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</si>
  <si>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</si>
  <si>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</si>
  <si>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</si>
  <si>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</si>
  <si>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</si>
  <si>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</si>
  <si>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</si>
  <si>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</si>
  <si>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</si>
  <si>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</si>
  <si>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</si>
  <si>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</si>
  <si>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</si>
  <si>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</si>
  <si>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</si>
  <si>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</si>
  <si>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</si>
  <si>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</si>
  <si>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</si>
  <si>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</si>
  <si>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</si>
  <si>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</si>
  <si>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</si>
  <si>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</si>
  <si>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</si>
  <si>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</si>
  <si>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</si>
  <si>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</si>
  <si>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</si>
  <si>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</si>
  <si>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</si>
  <si>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</si>
  <si>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</si>
  <si>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</si>
  <si>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</si>
  <si>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</si>
  <si>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</si>
  <si>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</si>
  <si>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</si>
  <si>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</si>
  <si>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</si>
  <si>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</si>
  <si>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</si>
  <si>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</si>
  <si>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</si>
  <si>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</si>
  <si>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</si>
  <si>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</si>
  <si>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</si>
  <si>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</si>
  <si>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</si>
  <si>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</si>
  <si>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</si>
  <si>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</si>
  <si>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</si>
  <si>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</si>
  <si>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</si>
  <si>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</si>
  <si>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</si>
  <si>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</si>
  <si>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</si>
  <si>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</si>
  <si>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</si>
  <si>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</si>
  <si>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</si>
  <si>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</si>
  <si>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</si>
  <si>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</si>
  <si>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</si>
  <si>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</si>
  <si>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</si>
  <si>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</si>
  <si>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</si>
  <si>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</si>
  <si>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</si>
  <si>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</si>
  <si>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</si>
  <si>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</si>
  <si>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</si>
  <si>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</si>
  <si>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</si>
  <si>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</si>
  <si>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</si>
  <si>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</si>
  <si>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</si>
  <si>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</si>
  <si>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</si>
  <si>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</si>
  <si>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</si>
  <si>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</si>
  <si>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</si>
  <si>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</si>
  <si>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</si>
  <si>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</si>
  <si>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</si>
  <si>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</si>
  <si>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</si>
  <si>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</si>
  <si>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</si>
  <si>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</si>
  <si>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</si>
  <si>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</si>
  <si>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</si>
  <si>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</si>
  <si>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</si>
  <si>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</si>
  <si>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</si>
  <si>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</si>
  <si>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</si>
  <si>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</si>
  <si>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</si>
  <si>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</si>
  <si>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</si>
  <si>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</si>
  <si>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</si>
  <si>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</si>
  <si>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</si>
  <si>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</si>
  <si>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</si>
  <si>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</si>
  <si>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</si>
  <si>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</si>
  <si>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</si>
  <si>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</si>
  <si>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</si>
  <si>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</si>
  <si>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</si>
  <si>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</si>
  <si>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</si>
  <si>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</si>
  <si>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</si>
  <si>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</si>
  <si>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</si>
  <si>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</si>
  <si>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</si>
  <si>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</si>
  <si>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</si>
  <si>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</si>
  <si>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</si>
  <si>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</si>
  <si>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</si>
  <si>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</si>
  <si>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</si>
  <si>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</si>
  <si>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</si>
  <si>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</si>
  <si>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</si>
  <si>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</si>
  <si>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</si>
  <si>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</si>
  <si>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</si>
  <si>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</si>
  <si>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</si>
  <si>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</si>
  <si>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</si>
  <si>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</si>
  <si>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</si>
  <si>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</si>
  <si>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</si>
  <si>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</si>
  <si>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</si>
  <si>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</si>
  <si>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</si>
  <si>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</si>
  <si>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</si>
  <si>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</si>
  <si>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</si>
  <si>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</si>
  <si>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</si>
  <si>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</si>
  <si>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</si>
  <si>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</si>
  <si>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</si>
  <si>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</si>
  <si>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</si>
  <si>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</si>
  <si>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</si>
  <si>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</si>
  <si>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</si>
  <si>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</si>
  <si>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</si>
  <si>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</si>
  <si>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</si>
  <si>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</si>
  <si>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</si>
  <si>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</si>
  <si>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</si>
  <si>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</si>
  <si>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</si>
  <si>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</si>
  <si>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</si>
  <si>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</si>
  <si>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</si>
  <si>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</si>
  <si>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</si>
  <si>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</si>
  <si>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</si>
  <si>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</si>
  <si>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</si>
  <si>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</si>
  <si>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</si>
  <si>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</si>
  <si>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</si>
  <si>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</si>
  <si>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</si>
  <si>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</si>
  <si>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</si>
  <si>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</si>
  <si>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</si>
  <si>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</si>
  <si>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</si>
  <si>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</si>
  <si>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</si>
  <si>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</si>
  <si>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</si>
  <si>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</si>
  <si>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</si>
  <si>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</si>
  <si>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</si>
  <si>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</si>
  <si>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</si>
  <si>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</si>
  <si>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</si>
  <si>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</si>
  <si>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</si>
  <si>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</si>
  <si>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</si>
  <si>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</si>
  <si>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</si>
  <si>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</si>
  <si>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</si>
  <si>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</si>
  <si>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</si>
  <si>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</si>
  <si>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</si>
  <si>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</si>
  <si>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</si>
  <si>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</si>
  <si>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</si>
  <si>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</si>
  <si>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</si>
  <si>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</si>
  <si>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</si>
  <si>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</si>
  <si>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</si>
  <si>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</si>
  <si>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</si>
  <si>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</si>
  <si>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</si>
  <si>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</si>
  <si>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</si>
  <si>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</si>
  <si>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</si>
  <si>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</si>
  <si>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</si>
  <si>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</si>
  <si>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</si>
  <si>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</si>
  <si>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</si>
  <si>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</si>
  <si>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</si>
  <si>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</si>
  <si>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</si>
  <si>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</si>
  <si>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</si>
  <si>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</si>
  <si>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</si>
  <si>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</si>
  <si>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</si>
  <si>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</si>
  <si>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</si>
  <si>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</si>
  <si>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</si>
  <si>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</si>
  <si>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</si>
  <si>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</si>
  <si>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</si>
  <si>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</si>
  <si>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</si>
  <si>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</si>
  <si>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</si>
  <si>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</si>
  <si>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</si>
  <si>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</si>
  <si>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</si>
  <si>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</si>
  <si>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</si>
  <si>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</si>
  <si>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</si>
  <si>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</si>
  <si>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</si>
  <si>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</si>
  <si>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</si>
  <si>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</si>
  <si>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</si>
  <si>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</si>
  <si>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</si>
  <si>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</si>
  <si>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</si>
  <si>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</si>
  <si>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</si>
  <si>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</si>
  <si>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</si>
  <si>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</si>
  <si>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</si>
  <si>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</si>
  <si>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</si>
  <si>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</si>
  <si>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</si>
  <si>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</si>
  <si>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</si>
  <si>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</si>
  <si>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</si>
  <si>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</si>
  <si>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</si>
  <si>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</si>
  <si>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</si>
  <si>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</si>
  <si>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</si>
  <si>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</si>
  <si>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</si>
  <si>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</si>
  <si>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</si>
  <si>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</si>
  <si>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</si>
  <si>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</si>
  <si>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</si>
  <si>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</si>
  <si>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</si>
  <si>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</si>
  <si>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</si>
  <si>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</si>
  <si>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</si>
  <si>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</si>
  <si>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</si>
  <si>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</si>
  <si>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</si>
  <si>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</si>
  <si>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</si>
  <si>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</si>
  <si>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</si>
  <si>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</si>
  <si>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</si>
  <si>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</si>
  <si>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</si>
  <si>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</si>
  <si>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</si>
  <si>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</si>
  <si>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</si>
  <si>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</si>
  <si>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</si>
  <si>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</si>
  <si>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</si>
  <si>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</si>
  <si>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</si>
  <si>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</si>
  <si>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</si>
  <si>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</si>
  <si>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</si>
  <si>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</si>
  <si>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</si>
  <si>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</si>
  <si>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</si>
  <si>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</si>
  <si>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</si>
  <si>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</si>
  <si>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</si>
  <si>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</si>
  <si>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</si>
  <si>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</si>
  <si>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</si>
  <si>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</si>
  <si>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</si>
  <si>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</si>
  <si>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</si>
  <si>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</si>
  <si>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</si>
  <si>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</si>
  <si>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</si>
  <si>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</si>
  <si>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</si>
  <si>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</si>
  <si>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</si>
  <si>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</si>
  <si>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</si>
  <si>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</si>
  <si>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</si>
  <si>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</si>
  <si>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</si>
  <si>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</si>
  <si>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</si>
  <si>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</si>
  <si>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</si>
  <si>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</si>
  <si>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</si>
  <si>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</si>
  <si>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</si>
  <si>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</si>
  <si>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</si>
  <si>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</si>
  <si>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</si>
  <si>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</si>
  <si>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</si>
  <si>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</si>
  <si>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</si>
  <si>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</si>
  <si>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</si>
  <si>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</si>
  <si>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</si>
  <si>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</si>
  <si>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</si>
  <si>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</si>
  <si>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</si>
  <si>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</si>
  <si>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</si>
  <si>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</si>
  <si>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</si>
  <si>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</si>
  <si>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</si>
  <si>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</si>
  <si>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</si>
  <si>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</si>
  <si>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</si>
  <si>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</si>
  <si>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</si>
  <si>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</si>
  <si>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</si>
  <si>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</si>
  <si>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</si>
  <si>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</si>
  <si>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</si>
  <si>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</si>
  <si>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</si>
  <si>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</si>
  <si>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</si>
  <si>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</si>
  <si>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</si>
  <si>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</si>
  <si>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</si>
  <si>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</si>
  <si>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</si>
  <si>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</si>
  <si>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</si>
  <si>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</si>
  <si>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</si>
  <si>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</si>
  <si>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</si>
  <si>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</si>
  <si>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</si>
  <si>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</si>
  <si>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</si>
  <si>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</si>
  <si>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</si>
  <si>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</si>
  <si>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</si>
  <si>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</si>
  <si>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</si>
  <si>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</si>
  <si>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</si>
  <si>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</si>
  <si>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</si>
  <si>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</si>
  <si>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</si>
  <si>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</si>
  <si>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</si>
  <si>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</si>
  <si>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</si>
  <si>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</si>
  <si>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</si>
  <si>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</si>
  <si>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</si>
  <si>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</si>
  <si>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</si>
  <si>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</si>
  <si>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</si>
  <si>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</si>
  <si>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</si>
  <si>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</si>
  <si>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</si>
  <si>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</si>
  <si>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</si>
  <si>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</si>
  <si>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</si>
  <si>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</si>
  <si>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</si>
  <si>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</si>
  <si>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</si>
  <si>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</si>
  <si>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</si>
  <si>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</si>
  <si>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</si>
  <si>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</si>
  <si>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</si>
  <si>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</si>
  <si>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</si>
  <si>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</si>
  <si>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</si>
  <si>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</si>
  <si>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</si>
  <si>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</si>
  <si>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</si>
  <si>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</si>
  <si>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</si>
  <si>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</si>
  <si>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</si>
  <si>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</si>
  <si>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</si>
  <si>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</si>
  <si>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</si>
  <si>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</si>
  <si>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</si>
  <si>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</si>
  <si>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</si>
  <si>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</si>
  <si>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</si>
  <si>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</si>
  <si>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</si>
  <si>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</si>
  <si>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</si>
  <si>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</si>
  <si>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</si>
  <si>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</si>
  <si>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</si>
  <si>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</si>
  <si>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</si>
  <si>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</si>
  <si>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</si>
  <si>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</si>
  <si>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</si>
  <si>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</si>
  <si>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</si>
  <si>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</si>
  <si>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</si>
  <si>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</si>
  <si>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</si>
  <si>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</si>
  <si>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</si>
  <si>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</si>
  <si>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</si>
  <si>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</si>
  <si>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</si>
  <si>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</si>
  <si>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</si>
  <si>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</si>
  <si>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</si>
  <si>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</si>
  <si>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</si>
  <si>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</si>
  <si>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</si>
  <si>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</si>
  <si>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</si>
  <si>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</si>
  <si>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</si>
  <si>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</si>
  <si>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</si>
  <si>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</si>
  <si>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</si>
  <si>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</si>
  <si>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</si>
  <si>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</si>
  <si>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</si>
  <si>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</si>
  <si>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</si>
  <si>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</si>
  <si>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</si>
  <si>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</si>
  <si>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</si>
  <si>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</si>
  <si>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</si>
  <si>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</si>
  <si>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</si>
  <si>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</si>
  <si>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</si>
  <si>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</si>
  <si>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</si>
  <si>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</si>
  <si>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</si>
  <si>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</si>
  <si>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</si>
  <si>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</si>
  <si>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</si>
  <si>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</si>
  <si>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</si>
  <si>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</si>
  <si>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</si>
  <si>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</si>
  <si>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</si>
  <si>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</si>
  <si>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</si>
  <si>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</si>
  <si>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</si>
  <si>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</si>
  <si>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</si>
  <si>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</si>
  <si>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</si>
  <si>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</si>
  <si>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</si>
  <si>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</si>
  <si>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</si>
  <si>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</si>
  <si>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</si>
  <si>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</si>
  <si>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</si>
  <si>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</si>
  <si>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</si>
  <si>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</si>
  <si>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</si>
  <si>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</si>
  <si>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</si>
  <si>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</si>
  <si>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</si>
  <si>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</si>
  <si>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</si>
  <si>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</si>
  <si>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</si>
  <si>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</si>
  <si>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</si>
  <si>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</si>
  <si>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</si>
  <si>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</si>
  <si>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</si>
  <si>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</si>
  <si>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</si>
  <si>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</si>
  <si>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</si>
  <si>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</si>
  <si>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</si>
  <si>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</si>
  <si>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</si>
  <si>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</si>
  <si>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</si>
  <si>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</si>
  <si>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</si>
  <si>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</si>
  <si>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</si>
  <si>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</si>
  <si>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</si>
  <si>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</si>
  <si>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</si>
  <si>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</si>
  <si>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</si>
  <si>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</si>
  <si>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</si>
  <si>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</si>
  <si>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</si>
  <si>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</si>
  <si>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</si>
  <si>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</si>
  <si>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</si>
  <si>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</si>
  <si>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</si>
  <si>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</si>
  <si>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</si>
  <si>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</si>
  <si>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</si>
  <si>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</si>
  <si>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</si>
  <si>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</si>
  <si>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</si>
  <si>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</si>
  <si>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</si>
  <si>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</si>
  <si>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</si>
  <si>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</si>
  <si>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</si>
  <si>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</si>
  <si>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</si>
  <si>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</si>
  <si>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</si>
  <si>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</si>
  <si>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</si>
  <si>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</si>
  <si>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</si>
  <si>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</si>
  <si>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</si>
  <si>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</si>
  <si>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</si>
  <si>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</si>
  <si>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</si>
  <si>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</si>
  <si>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</si>
  <si>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</si>
  <si>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</si>
  <si>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</si>
  <si>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</si>
  <si>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</si>
  <si>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</si>
  <si>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</si>
  <si>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</si>
  <si>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</si>
  <si>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</si>
  <si>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</si>
  <si>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</si>
  <si>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</si>
  <si>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</si>
  <si>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</si>
  <si>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</si>
  <si>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</si>
  <si>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</si>
  <si>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</si>
  <si>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</si>
  <si>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</si>
  <si>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</si>
  <si>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</si>
  <si>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</si>
  <si>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</si>
  <si>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</si>
  <si>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</si>
  <si>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</si>
  <si>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</si>
  <si>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</si>
  <si>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</si>
  <si>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</si>
  <si>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</si>
  <si>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</si>
  <si>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</si>
  <si>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</si>
  <si>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</si>
  <si>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</si>
  <si>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</si>
  <si>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</si>
  <si>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</si>
  <si>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</si>
  <si>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</si>
  <si>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</si>
  <si>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</si>
  <si>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</si>
  <si>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</si>
  <si>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</si>
  <si>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</si>
  <si>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</si>
  <si>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</si>
  <si>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</si>
  <si>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</si>
  <si>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</si>
  <si>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</si>
  <si>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</si>
  <si>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</si>
  <si>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</si>
  <si>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</si>
  <si>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</si>
  <si>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</si>
  <si>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</si>
  <si>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</si>
  <si>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</si>
  <si>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</si>
  <si>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</si>
  <si>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</si>
  <si>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</si>
  <si>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</si>
  <si>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</si>
  <si>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</si>
  <si>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</si>
  <si>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</si>
  <si>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</si>
  <si>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</si>
  <si>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</si>
  <si>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</si>
  <si>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</si>
  <si>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</si>
  <si>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</si>
  <si>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</si>
  <si>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</si>
  <si>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</si>
  <si>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</si>
  <si>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</si>
  <si>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</si>
  <si>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</si>
  <si>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</si>
  <si>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</si>
  <si>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</si>
  <si>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</si>
  <si>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</si>
  <si>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</si>
  <si>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</si>
  <si>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</si>
  <si>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</si>
  <si>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</si>
  <si>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</si>
  <si>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</si>
  <si>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</si>
  <si>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</si>
  <si>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</si>
  <si>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</si>
  <si>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</si>
  <si>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</si>
  <si>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</si>
  <si>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</si>
  <si>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</si>
  <si>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</si>
  <si>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</si>
  <si>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</si>
  <si>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</si>
  <si>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</si>
  <si>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</si>
  <si>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</si>
  <si>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</si>
  <si>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</si>
  <si>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</si>
  <si>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</si>
  <si>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</si>
  <si>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</si>
  <si>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</si>
  <si>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</si>
  <si>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</si>
  <si>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</si>
  <si>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</si>
  <si>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</si>
  <si>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</si>
  <si>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</si>
  <si>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</si>
  <si>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</si>
  <si>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</si>
  <si>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</si>
  <si>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</si>
  <si>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</si>
  <si>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</si>
  <si>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</si>
  <si>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</si>
  <si>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</si>
  <si>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</si>
  <si>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</si>
  <si>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</si>
  <si>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</si>
  <si>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</si>
  <si>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</si>
  <si>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</si>
  <si>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</si>
  <si>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</si>
  <si>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</si>
  <si>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</si>
  <si>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</si>
  <si>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</si>
  <si>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</si>
  <si>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</si>
  <si>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</si>
  <si>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</si>
  <si>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</si>
  <si>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</si>
  <si>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</si>
  <si>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</si>
  <si>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</si>
  <si>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</si>
  <si>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</si>
  <si>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</si>
  <si>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</si>
  <si>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</si>
  <si>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</si>
  <si>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</si>
  <si>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</si>
  <si>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</si>
  <si>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</si>
  <si>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</si>
  <si>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</si>
  <si>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</si>
  <si>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</si>
  <si>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</si>
  <si>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</si>
  <si>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</si>
  <si>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</si>
  <si>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</si>
  <si>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</si>
  <si>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</si>
  <si>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</si>
  <si>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</si>
  <si>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</si>
  <si>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</si>
  <si>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</si>
  <si>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</si>
  <si>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</si>
  <si>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</si>
  <si>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</si>
  <si>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</si>
  <si>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</si>
  <si>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</si>
  <si>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</si>
  <si>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</si>
  <si>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</si>
  <si>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</si>
  <si>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</si>
  <si>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</si>
  <si>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</si>
  <si>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</si>
  <si>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</si>
  <si>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</si>
  <si>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</si>
  <si>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</si>
  <si>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</si>
  <si>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</si>
  <si>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</si>
  <si>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</si>
  <si>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</si>
  <si>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</si>
  <si>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</si>
  <si>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</si>
  <si>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</si>
  <si>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</si>
  <si>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</si>
  <si>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</si>
  <si>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</si>
  <si>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</si>
  <si>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</si>
  <si>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</si>
  <si>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</si>
  <si>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</si>
  <si>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</si>
  <si>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</si>
  <si>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</si>
  <si>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</si>
  <si>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</si>
  <si>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</si>
  <si>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</si>
  <si>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</si>
  <si>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</si>
  <si>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</si>
  <si>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</si>
  <si>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</si>
  <si>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</si>
  <si>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</si>
  <si>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</si>
  <si>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</si>
  <si>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</si>
  <si>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</si>
  <si>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</si>
  <si>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</si>
  <si>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</si>
  <si>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</si>
  <si>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</si>
  <si>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</si>
  <si>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</si>
  <si>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</si>
  <si>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</si>
  <si>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</si>
  <si>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</si>
  <si>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</si>
  <si>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</si>
  <si>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</si>
  <si>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</si>
  <si>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</si>
  <si>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</si>
  <si>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</si>
  <si>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</si>
  <si>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</si>
  <si>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</si>
  <si>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</si>
  <si>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</si>
  <si>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</si>
  <si>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</si>
  <si>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</si>
  <si>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</si>
  <si>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</si>
  <si>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</si>
  <si>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</si>
  <si>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</si>
  <si>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</si>
  <si>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</si>
  <si>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</si>
  <si>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</si>
  <si>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</si>
  <si>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</si>
  <si>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</si>
  <si>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</si>
  <si>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</si>
  <si>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</si>
  <si>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</si>
  <si>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</si>
  <si>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</si>
  <si>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</si>
  <si>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</si>
  <si>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</si>
  <si>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</si>
  <si>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</si>
  <si>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</si>
  <si>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</si>
  <si>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</si>
  <si>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</si>
  <si>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</si>
  <si>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</si>
  <si>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</si>
  <si>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</si>
  <si>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</si>
  <si>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</si>
  <si>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</si>
  <si>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</si>
  <si>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</si>
  <si>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</si>
  <si>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</si>
  <si>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</si>
  <si>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</si>
  <si>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</si>
  <si>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</si>
  <si>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</si>
  <si>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</si>
  <si>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</si>
  <si>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</si>
  <si>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</si>
  <si>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</si>
  <si>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</si>
  <si>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</si>
  <si>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</si>
  <si>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</si>
  <si>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</si>
  <si>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</si>
  <si>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</si>
  <si>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</si>
  <si>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</si>
  <si>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</si>
  <si>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</si>
  <si>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</si>
  <si>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</si>
  <si>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</si>
  <si>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</si>
  <si>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</si>
  <si>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</si>
  <si>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</si>
  <si>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</si>
  <si>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</si>
  <si>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</si>
  <si>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</si>
  <si>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</si>
  <si>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</si>
  <si>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</si>
  <si>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</si>
  <si>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</si>
  <si>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</si>
  <si>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</si>
  <si>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</si>
  <si>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</si>
  <si>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</si>
  <si>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</si>
  <si>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</si>
  <si>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</si>
  <si>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</si>
  <si>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</si>
  <si>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</si>
  <si>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</si>
  <si>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</si>
  <si>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</si>
  <si>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</si>
  <si>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</si>
  <si>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</si>
  <si>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</si>
  <si>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</si>
  <si>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</si>
  <si>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</si>
  <si>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</si>
  <si>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</si>
  <si>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</si>
  <si>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</si>
  <si>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</si>
  <si>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</si>
  <si>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</si>
  <si>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</si>
  <si>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</si>
  <si>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</si>
  <si>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</si>
  <si>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</si>
  <si>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</si>
  <si>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</si>
  <si>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</si>
  <si>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</si>
  <si>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</si>
  <si>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</si>
  <si>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</si>
  <si>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</si>
  <si>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</si>
  <si>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</si>
  <si>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</si>
  <si>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</si>
  <si>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</si>
  <si>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</si>
  <si>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</si>
  <si>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</si>
  <si>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</si>
  <si>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</si>
  <si>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</si>
  <si>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</si>
  <si>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</si>
  <si>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</si>
  <si>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</si>
  <si>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</si>
  <si>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</si>
  <si>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</si>
  <si>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</si>
  <si>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</si>
  <si>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</si>
  <si>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</si>
  <si>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</si>
  <si>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</si>
  <si>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</si>
  <si>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</si>
  <si>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</si>
  <si>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</si>
  <si>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</si>
  <si>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</si>
  <si>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</si>
  <si>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</si>
  <si>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</si>
  <si>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</si>
  <si>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</si>
  <si>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</si>
  <si>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</si>
  <si>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</si>
  <si>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</si>
  <si>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</si>
  <si>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</si>
  <si>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</si>
  <si>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</si>
  <si>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</si>
  <si>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</si>
  <si>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</si>
  <si>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</si>
  <si>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</si>
  <si>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</si>
  <si>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</si>
  <si>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</si>
  <si>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</si>
  <si>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</si>
  <si>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</si>
  <si>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</si>
  <si>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</si>
  <si>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</si>
  <si>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</si>
  <si>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</si>
  <si>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</si>
  <si>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</si>
  <si>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</si>
  <si>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</si>
  <si>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</si>
  <si>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</si>
  <si>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</si>
  <si>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</si>
  <si>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</si>
  <si>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</si>
  <si>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</si>
  <si>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</si>
  <si>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</si>
  <si>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</si>
  <si>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</si>
  <si>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</si>
  <si>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</si>
  <si>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</si>
  <si>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</si>
  <si>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</si>
  <si>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</si>
  <si>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</si>
  <si>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</si>
  <si>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</si>
  <si>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</si>
  <si>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</si>
  <si>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</si>
  <si>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</si>
  <si>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</si>
  <si>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</si>
  <si>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</si>
  <si>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</si>
  <si>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</si>
  <si>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</si>
  <si>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</si>
  <si>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</si>
  <si>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</si>
  <si>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</si>
  <si>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</si>
  <si>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</si>
  <si>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</si>
  <si>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</si>
  <si>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</si>
  <si>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</si>
  <si>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</si>
  <si>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</si>
  <si>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</si>
  <si>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</si>
  <si>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</si>
  <si>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</si>
  <si>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</si>
  <si>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</si>
  <si>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</si>
  <si>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</si>
  <si>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</si>
  <si>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</si>
  <si>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</si>
  <si>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</si>
  <si>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</si>
  <si>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</si>
  <si>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</si>
  <si>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</si>
  <si>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</si>
  <si>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</si>
  <si>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</si>
  <si>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</si>
  <si>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</si>
  <si>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</si>
  <si>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</si>
  <si>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</si>
  <si>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</si>
  <si>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</si>
  <si>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</si>
  <si>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</si>
  <si>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</si>
  <si>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</si>
  <si>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</si>
  <si>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</si>
  <si>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</si>
  <si>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</si>
  <si>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</si>
  <si>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</si>
  <si>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</si>
  <si>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</si>
  <si>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</si>
  <si>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</si>
  <si>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</si>
  <si>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</si>
  <si>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</si>
  <si>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</si>
  <si>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</si>
  <si>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</si>
  <si>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</si>
  <si>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</si>
  <si>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</si>
  <si>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</si>
  <si>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</si>
  <si>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</si>
  <si>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</si>
  <si>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</si>
  <si>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</si>
  <si>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</si>
  <si>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</si>
  <si>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</si>
  <si>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</si>
  <si>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</si>
  <si>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</si>
  <si>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</si>
  <si>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</si>
  <si>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</si>
  <si>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</si>
  <si>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</si>
  <si>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</si>
  <si>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</si>
  <si>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</si>
  <si>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</si>
  <si>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</si>
  <si>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</si>
  <si>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</si>
  <si>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</si>
  <si>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</si>
  <si>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</si>
  <si>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</si>
  <si>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</si>
  <si>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</si>
  <si>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</si>
  <si>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</si>
  <si>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</si>
  <si>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</si>
  <si>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</si>
  <si>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</si>
  <si>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</si>
  <si>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</si>
  <si>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</si>
  <si>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</si>
  <si>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</si>
  <si>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</si>
  <si>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</si>
  <si>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</si>
  <si>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</si>
  <si>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</si>
  <si>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</si>
  <si>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</si>
  <si>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</si>
  <si>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</si>
  <si>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</si>
  <si>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</si>
  <si>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</si>
  <si>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</si>
  <si>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</si>
  <si>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</si>
  <si>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</si>
  <si>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</si>
  <si>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</si>
  <si>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</si>
  <si>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</si>
  <si>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</si>
  <si>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</si>
  <si>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</si>
  <si>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</si>
  <si>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</si>
  <si>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</si>
  <si>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</si>
  <si>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</si>
  <si>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</si>
  <si>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</si>
  <si>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</si>
  <si>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</si>
  <si>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</si>
  <si>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</si>
  <si>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</si>
  <si>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</si>
  <si>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</si>
  <si>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</si>
  <si>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</si>
  <si>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</si>
  <si>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</si>
  <si>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</si>
  <si>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</si>
  <si>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</si>
  <si>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</si>
  <si>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</si>
  <si>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</si>
  <si>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</si>
  <si>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</si>
  <si>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</si>
  <si>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</si>
  <si>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</si>
  <si>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</si>
  <si>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</si>
  <si>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</si>
  <si>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</si>
  <si>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</si>
  <si>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</si>
  <si>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</si>
  <si>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</si>
  <si>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</si>
  <si>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</si>
  <si>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</si>
  <si>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</si>
  <si>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</si>
  <si>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</si>
  <si>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</si>
  <si>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</si>
  <si>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</si>
  <si>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</si>
  <si>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</si>
  <si>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</si>
  <si>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</si>
  <si>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</si>
  <si>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</si>
  <si>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</si>
  <si>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</si>
  <si>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</si>
  <si>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</si>
  <si>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</si>
  <si>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</si>
  <si>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</si>
  <si>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</si>
  <si>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</si>
  <si>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</si>
  <si>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</si>
  <si>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</si>
  <si>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</si>
  <si>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</si>
  <si>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</si>
  <si>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</si>
  <si>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</si>
  <si>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</si>
  <si>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</si>
  <si>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</si>
  <si>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</si>
  <si>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</si>
  <si>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</si>
  <si>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</si>
  <si>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</si>
  <si>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</si>
  <si>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</si>
  <si>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</si>
  <si>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</si>
  <si>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</si>
  <si>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</si>
  <si>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</si>
  <si>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</si>
  <si>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</si>
  <si>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</si>
  <si>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</si>
  <si>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</si>
  <si>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</si>
  <si>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</si>
  <si>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</si>
  <si>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</si>
  <si>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</si>
  <si>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</si>
  <si>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</si>
  <si>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</si>
  <si>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</si>
  <si>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</si>
  <si>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</si>
  <si>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</si>
  <si>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</si>
  <si>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</si>
  <si>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</si>
  <si>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</si>
  <si>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</si>
  <si>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</si>
  <si>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</si>
  <si>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</si>
  <si>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</si>
  <si>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</si>
  <si>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</si>
  <si>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</si>
  <si>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</si>
  <si>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</si>
  <si>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</si>
  <si>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</si>
  <si>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</si>
  <si>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</si>
  <si>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</si>
  <si>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</si>
  <si>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</si>
  <si>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</si>
  <si>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</si>
  <si>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</si>
  <si>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</si>
  <si>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</si>
  <si>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</si>
  <si>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</si>
  <si>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</si>
  <si>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</si>
  <si>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</si>
  <si>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</si>
  <si>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</si>
  <si>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</si>
  <si>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</si>
  <si>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</si>
  <si>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</si>
  <si>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</si>
  <si>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</si>
  <si>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</si>
  <si>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</si>
  <si>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</si>
  <si>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</si>
  <si>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</si>
  <si>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</si>
  <si>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</si>
  <si>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</si>
  <si>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</si>
  <si>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</si>
  <si>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</si>
  <si>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</si>
  <si>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</si>
  <si>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</si>
  <si>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</si>
  <si>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</si>
  <si>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</si>
  <si>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</si>
  <si>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</si>
  <si>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</si>
  <si>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</si>
  <si>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</si>
  <si>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</si>
  <si>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</si>
  <si>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</si>
  <si>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</si>
  <si>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</si>
  <si>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</si>
  <si>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</si>
  <si>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</si>
  <si>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</si>
  <si>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</si>
  <si>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</si>
  <si>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</si>
  <si>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</si>
  <si>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</si>
  <si>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</si>
  <si>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</si>
  <si>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</si>
  <si>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</si>
  <si>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</si>
  <si>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</si>
  <si>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</si>
  <si>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</si>
  <si>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</si>
  <si>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</si>
  <si>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</si>
  <si>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</si>
  <si>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</si>
  <si>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</si>
  <si>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</si>
  <si>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</si>
  <si>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</si>
  <si>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</si>
  <si>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</si>
  <si>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</si>
  <si>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</si>
  <si>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</si>
  <si>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</si>
  <si>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</si>
  <si>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</si>
  <si>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</si>
  <si>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</si>
  <si>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</si>
  <si>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</si>
  <si>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</si>
  <si>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</si>
  <si>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</si>
  <si>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</si>
  <si>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</si>
  <si>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</si>
  <si>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</si>
  <si>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</si>
  <si>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</si>
  <si>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</si>
  <si>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</si>
  <si>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</si>
  <si>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</si>
  <si>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</si>
  <si>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</si>
  <si>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</si>
  <si>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</si>
  <si>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</si>
  <si>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</si>
  <si>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</si>
  <si>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</si>
  <si>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</si>
  <si>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</si>
  <si>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</si>
  <si>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</si>
  <si>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</si>
  <si>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</si>
  <si>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</si>
  <si>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</si>
  <si>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</si>
  <si>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</si>
  <si>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</si>
  <si>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</si>
  <si>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</si>
  <si>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</si>
  <si>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</si>
  <si>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</si>
  <si>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</si>
  <si>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</si>
  <si>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</si>
  <si>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</si>
  <si>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</si>
  <si>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</si>
  <si>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</si>
  <si>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</si>
  <si>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</si>
  <si>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</si>
  <si>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</si>
  <si>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</si>
  <si>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</si>
  <si>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</si>
  <si>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</si>
  <si>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</si>
  <si>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</si>
  <si>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</si>
  <si>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</si>
  <si>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</si>
  <si>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</si>
  <si>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</si>
  <si>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</si>
  <si>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</si>
  <si>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</si>
  <si>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</si>
  <si>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</si>
  <si>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</si>
  <si>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</si>
  <si>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</si>
  <si>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</si>
  <si>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</si>
  <si>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</si>
  <si>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</si>
  <si>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</si>
  <si>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</si>
  <si>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</si>
  <si>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</si>
  <si>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</si>
  <si>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</si>
  <si>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</si>
  <si>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</si>
  <si>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</si>
  <si>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</si>
  <si>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</si>
  <si>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</si>
  <si>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</si>
  <si>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</si>
  <si>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</si>
  <si>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</si>
  <si>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</si>
  <si>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</si>
  <si>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</si>
  <si>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</si>
  <si>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</si>
  <si>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</si>
  <si>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</si>
  <si>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</si>
  <si>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</si>
  <si>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</si>
  <si>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</si>
  <si>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</si>
  <si>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</si>
  <si>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</si>
  <si>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</si>
  <si>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</si>
  <si>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</si>
  <si>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</si>
  <si>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</si>
  <si>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</si>
  <si>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</si>
  <si>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</si>
  <si>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</si>
  <si>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</si>
  <si>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</si>
  <si>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</si>
  <si>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</si>
  <si>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</si>
  <si>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</si>
  <si>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</si>
  <si>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</si>
  <si>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</si>
  <si>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</si>
  <si>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</si>
  <si>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</si>
  <si>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</si>
  <si>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</si>
  <si>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</si>
  <si>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</si>
  <si>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</si>
  <si>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</si>
  <si>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</si>
  <si>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</si>
  <si>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</si>
  <si>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</si>
  <si>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</si>
  <si>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</si>
  <si>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</si>
  <si>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</si>
  <si>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</si>
  <si>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</si>
  <si>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</si>
  <si>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</si>
  <si>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</si>
  <si>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</si>
  <si>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</si>
  <si>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</si>
  <si>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</si>
  <si>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</si>
  <si>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</si>
  <si>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</si>
  <si>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</si>
  <si>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</si>
  <si>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</si>
  <si>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</si>
  <si>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</si>
  <si>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</si>
  <si>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</si>
  <si>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</si>
  <si>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</si>
  <si>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</si>
  <si>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</si>
  <si>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</si>
  <si>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</si>
  <si>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</si>
  <si>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</si>
  <si>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</si>
  <si>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</si>
  <si>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</si>
  <si>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</si>
  <si>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</si>
  <si>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</si>
  <si>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</si>
  <si>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</si>
  <si>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</si>
  <si>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</si>
  <si>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</si>
  <si>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</si>
  <si>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</si>
  <si>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</si>
  <si>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</si>
  <si>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</si>
  <si>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</si>
  <si>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</si>
  <si>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</si>
  <si>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</si>
  <si>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</si>
  <si>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</si>
  <si>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</si>
  <si>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61539263602</t>
  </si>
  <si>
    <t>01331981</t>
  </si>
  <si>
    <t>070048488</t>
  </si>
  <si>
    <t>REDEA d.o.o.</t>
  </si>
  <si>
    <t>ČAKOVEC</t>
  </si>
  <si>
    <t>Bana Josipa Jelačića 22</t>
  </si>
  <si>
    <t>redea@redea.hr</t>
  </si>
  <si>
    <t>040/395-560</t>
  </si>
  <si>
    <t>wwe.redea.hr</t>
  </si>
  <si>
    <t>Nada Kanižaj</t>
  </si>
  <si>
    <t>040/364-037</t>
  </si>
  <si>
    <t>info@rin-commerce.hr</t>
  </si>
  <si>
    <t>POLANEC MARINOVIĆ SANDRA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</si>
</sst>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1291.7</v>
      </c>
      <c r="I3" s="31">
        <f>ABS(ROUND(J3,0)-J3)+ABS(ROUND(K3,0)-K3)</f>
        <v>0</v>
      </c>
      <c r="J3" s="31">
        <f>Bilanca!I10</f>
        <v>29329</v>
      </c>
      <c r="K3" s="31">
        <f>Bilanca!J10</f>
        <v>17628</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01331981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070048488</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61539263602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REDEA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ČAKOVEC</v>
      </c>
      <c r="D11" s="4" t="s">
        <v>1521</v>
      </c>
      <c r="E11" s="4">
        <v>1</v>
      </c>
      <c r="F11" s="4">
        <f>Bilanca!G18</f>
        <v>10</v>
      </c>
      <c r="G11" s="4">
        <f>IF(Bilanca!H18=0,"",Bilanca!H18)</f>
      </c>
      <c r="H11" s="30">
        <f t="shared" si="0"/>
        <v>6458.5</v>
      </c>
      <c r="I11" s="31">
        <f t="shared" si="1"/>
        <v>0</v>
      </c>
      <c r="J11" s="31">
        <f>Bilanca!I18</f>
        <v>29329</v>
      </c>
      <c r="K11" s="31">
        <f>Bilanca!J18</f>
        <v>17628</v>
      </c>
    </row>
    <row r="12" spans="1:11" ht="12.75">
      <c r="A12" s="4" t="s">
        <v>2357</v>
      </c>
      <c r="B12" s="29" t="str">
        <f>TRIM(RefStr!C33)</f>
        <v>Bana Josipa Jelačića 22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redea@redea.hr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wwe.redea.hr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20</v>
      </c>
      <c r="D15" s="4" t="s">
        <v>1521</v>
      </c>
      <c r="E15" s="4">
        <v>1</v>
      </c>
      <c r="F15" s="4">
        <f>Bilanca!G22</f>
        <v>14</v>
      </c>
      <c r="G15" s="4">
        <f>IF(Bilanca!H22=0,"",Bilanca!H22)</f>
      </c>
      <c r="H15" s="30">
        <f t="shared" si="0"/>
        <v>9041.900000000001</v>
      </c>
      <c r="I15" s="31">
        <f t="shared" si="1"/>
        <v>0</v>
      </c>
      <c r="J15" s="31">
        <f>Bilanca!I22</f>
        <v>29329</v>
      </c>
      <c r="K15" s="31">
        <f>Bilanca!J22</f>
        <v>17628</v>
      </c>
    </row>
    <row r="16" spans="1:11" ht="12.75">
      <c r="A16" s="4" t="s">
        <v>2359</v>
      </c>
      <c r="B16" s="29" t="str">
        <f>TEXT(RefStr!C39,"000")</f>
        <v>060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7022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1475803.09</v>
      </c>
      <c r="I38" s="31">
        <f t="shared" si="1"/>
        <v>0</v>
      </c>
      <c r="J38" s="31">
        <f>Bilanca!I45</f>
        <v>1675971</v>
      </c>
      <c r="K38" s="31">
        <f>Bilanca!J45</f>
        <v>1156343</v>
      </c>
    </row>
    <row r="39" spans="1:11" ht="12.75">
      <c r="A39" s="4" t="s">
        <v>1216</v>
      </c>
      <c r="B39" s="29" t="str">
        <f>RefStr!C68</f>
        <v>Nada Kanižaj</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040/364-037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info@rin-commerce.hr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POLANEC MARINOVIĆ SANDRA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428761.4</v>
      </c>
      <c r="I47" s="31">
        <f t="shared" si="3"/>
        <v>0</v>
      </c>
      <c r="J47" s="31">
        <f>Bilanca!I54</f>
        <v>305732</v>
      </c>
      <c r="K47" s="31">
        <f>Bilanca!J54</f>
        <v>313179</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5825.12</v>
      </c>
      <c r="I50" s="31">
        <f t="shared" si="3"/>
        <v>0</v>
      </c>
      <c r="J50" s="31">
        <f>Bilanca!I57</f>
        <v>11888</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53599.98</v>
      </c>
      <c r="I52" s="31">
        <f t="shared" si="3"/>
        <v>0</v>
      </c>
      <c r="J52" s="31">
        <f>Bilanca!I59</f>
        <v>22144</v>
      </c>
      <c r="K52" s="31">
        <f>Bilanca!J59</f>
        <v>41477</v>
      </c>
    </row>
    <row r="53" spans="1:11" ht="12.75">
      <c r="A53" s="4" t="s">
        <v>532</v>
      </c>
      <c r="B53" s="29" t="str">
        <f>RefStr!I56</f>
        <v>DA</v>
      </c>
      <c r="D53" s="4" t="s">
        <v>1521</v>
      </c>
      <c r="E53" s="4">
        <v>1</v>
      </c>
      <c r="F53" s="4">
        <f>Bilanca!G60</f>
        <v>52</v>
      </c>
      <c r="G53" s="4">
        <f>IF(Bilanca!H60=0,"",Bilanca!H60)</f>
      </c>
      <c r="H53" s="30">
        <f t="shared" si="2"/>
        <v>423854.08</v>
      </c>
      <c r="I53" s="31">
        <f t="shared" si="3"/>
        <v>0</v>
      </c>
      <c r="J53" s="31">
        <f>Bilanca!I60</f>
        <v>271700</v>
      </c>
      <c r="K53" s="31">
        <f>Bilanca!J60</f>
        <v>271702</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668122583.4200001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1925637.21</v>
      </c>
      <c r="I64" s="31">
        <f t="shared" si="3"/>
        <v>0</v>
      </c>
      <c r="J64" s="31">
        <f>Bilanca!I71</f>
        <v>1370239</v>
      </c>
      <c r="K64" s="31">
        <f>Bilanca!J71</f>
        <v>843164</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2634607.3</v>
      </c>
      <c r="I66" s="31">
        <f t="shared" si="3"/>
        <v>0</v>
      </c>
      <c r="J66" s="31">
        <f>Bilanca!I73</f>
        <v>1705300</v>
      </c>
      <c r="K66" s="31">
        <f>Bilanca!J73</f>
        <v>1173971</v>
      </c>
    </row>
    <row r="67" spans="1:11" ht="12.75">
      <c r="A67" s="4" t="s">
        <v>689</v>
      </c>
      <c r="B67" s="29" t="str">
        <f>RefStr!L35</f>
        <v>040/395-560</v>
      </c>
      <c r="D67" s="4" t="s">
        <v>1521</v>
      </c>
      <c r="E67" s="4">
        <v>1</v>
      </c>
      <c r="F67" s="4">
        <f>Bilanca!G74</f>
        <v>66</v>
      </c>
      <c r="G67" s="4">
        <f>IF(Bilanca!H74=0,"",Bilanca!H74)</f>
      </c>
      <c r="H67" s="30">
        <f t="shared" si="2"/>
        <v>20447.46</v>
      </c>
      <c r="I67" s="31">
        <f t="shared" si="3"/>
        <v>0</v>
      </c>
      <c r="J67" s="31">
        <f>Bilanca!I74</f>
        <v>10327</v>
      </c>
      <c r="K67" s="31">
        <f>Bilanca!J74</f>
        <v>10327</v>
      </c>
    </row>
    <row r="68" spans="1:11" ht="12.75">
      <c r="A68" s="4" t="s">
        <v>690</v>
      </c>
      <c r="B68" s="29">
        <f>RefStr!C44</f>
        <v>1</v>
      </c>
      <c r="D68" s="4" t="s">
        <v>1521</v>
      </c>
      <c r="E68" s="4">
        <v>1</v>
      </c>
      <c r="F68" s="4">
        <f>Bilanca!G76</f>
        <v>67</v>
      </c>
      <c r="G68" s="4">
        <f>IF(Bilanca!H76=0,"",Bilanca!H76)</f>
      </c>
      <c r="H68" s="30">
        <f t="shared" si="2"/>
        <v>2309698.37</v>
      </c>
      <c r="I68" s="31">
        <f t="shared" si="3"/>
        <v>0</v>
      </c>
      <c r="J68" s="31">
        <f>Bilanca!I76</f>
        <v>1102383</v>
      </c>
      <c r="K68" s="31">
        <f>Bilanca!J76</f>
        <v>1172464</v>
      </c>
    </row>
    <row r="69" spans="1:11" ht="12.75">
      <c r="A69" s="4" t="s">
        <v>691</v>
      </c>
      <c r="B69" s="29">
        <f>RefStr!M46</f>
        <v>0</v>
      </c>
      <c r="D69" s="4" t="s">
        <v>1521</v>
      </c>
      <c r="E69" s="4">
        <v>1</v>
      </c>
      <c r="F69" s="4">
        <f>Bilanca!G77</f>
        <v>68</v>
      </c>
      <c r="G69" s="4">
        <f>IF(Bilanca!H77=0,"",Bilanca!H77)</f>
      </c>
      <c r="H69" s="30">
        <f t="shared" si="2"/>
        <v>1770720</v>
      </c>
      <c r="I69" s="31">
        <f t="shared" si="3"/>
        <v>0</v>
      </c>
      <c r="J69" s="31">
        <f>Bilanca!I77</f>
        <v>868000</v>
      </c>
      <c r="K69" s="31">
        <f>Bilanca!J77</f>
        <v>868000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1890</v>
      </c>
      <c r="I71" s="31">
        <f t="shared" si="3"/>
        <v>0</v>
      </c>
      <c r="J71" s="31">
        <f>Bilanca!I79</f>
        <v>900</v>
      </c>
      <c r="K71" s="31">
        <f>Bilanca!J79</f>
        <v>900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2025</v>
      </c>
      <c r="I76" s="31">
        <f t="shared" si="3"/>
        <v>0</v>
      </c>
      <c r="J76" s="31">
        <f>Bilanca!I84</f>
        <v>900</v>
      </c>
      <c r="K76" s="31">
        <f>Bilanca!J84</f>
        <v>900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392386.68</v>
      </c>
      <c r="I82" s="31">
        <f t="shared" si="3"/>
        <v>0</v>
      </c>
      <c r="J82" s="31">
        <f>Bilanca!I90</f>
        <v>17460</v>
      </c>
      <c r="K82" s="31">
        <f>Bilanca!J90</f>
        <v>233484</v>
      </c>
    </row>
    <row r="83" spans="4:11" ht="12.75">
      <c r="D83" s="4" t="s">
        <v>1521</v>
      </c>
      <c r="E83" s="4">
        <v>1</v>
      </c>
      <c r="F83" s="4">
        <f>Bilanca!G91</f>
        <v>82</v>
      </c>
      <c r="G83" s="4">
        <f>IF(Bilanca!H91=0,"",Bilanca!H91)</f>
      </c>
      <c r="H83" s="30">
        <f t="shared" si="2"/>
        <v>397230.96</v>
      </c>
      <c r="I83" s="31">
        <f t="shared" si="3"/>
        <v>0</v>
      </c>
      <c r="J83" s="31">
        <f>Bilanca!I91</f>
        <v>17460</v>
      </c>
      <c r="K83" s="31">
        <f>Bilanca!J91</f>
        <v>233484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299193.72</v>
      </c>
      <c r="I85" s="31">
        <f>ABS(ROUND(J85,0)-J85)+ABS(ROUND(K85,0)-K85)</f>
        <v>0</v>
      </c>
      <c r="J85" s="31">
        <f>Bilanca!I93</f>
        <v>216023</v>
      </c>
      <c r="K85" s="31">
        <f>Bilanca!J93</f>
        <v>70080</v>
      </c>
    </row>
    <row r="86" spans="4:11" ht="12.75">
      <c r="D86" s="4" t="s">
        <v>1521</v>
      </c>
      <c r="E86" s="4">
        <v>1</v>
      </c>
      <c r="F86" s="4">
        <f>Bilanca!G94</f>
        <v>85</v>
      </c>
      <c r="G86" s="4">
        <f>IF(Bilanca!H94=0,"",Bilanca!H94)</f>
      </c>
      <c r="H86" s="30">
        <f>J86/100*F86+2*K86/100*F86</f>
        <v>302755.55</v>
      </c>
      <c r="I86" s="31">
        <f>ABS(ROUND(J86,0)-J86)+ABS(ROUND(K86,0)-K86)</f>
        <v>0</v>
      </c>
      <c r="J86" s="31">
        <f>Bilanca!I94</f>
        <v>216023</v>
      </c>
      <c r="K86" s="31">
        <f>Bilanca!J94</f>
        <v>70080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555750</v>
      </c>
      <c r="I96" s="31">
        <f t="shared" si="5"/>
        <v>0</v>
      </c>
      <c r="J96" s="31">
        <f>Bilanca!I104</f>
        <v>585000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614250</v>
      </c>
      <c r="I106" s="31">
        <f t="shared" si="5"/>
        <v>0</v>
      </c>
      <c r="J106" s="31">
        <f>Bilanca!I114</f>
        <v>585000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22396.17</v>
      </c>
      <c r="I108" s="31">
        <f t="shared" si="5"/>
        <v>0</v>
      </c>
      <c r="J108" s="31">
        <f>Bilanca!I116</f>
        <v>17917</v>
      </c>
      <c r="K108" s="31">
        <f>Bilanca!J116</f>
        <v>1507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4746.05</v>
      </c>
      <c r="I116" s="31">
        <f t="shared" si="5"/>
        <v>0</v>
      </c>
      <c r="J116" s="31">
        <f>Bilanca!I124</f>
        <v>1113</v>
      </c>
      <c r="K116" s="31">
        <f>Bilanca!J124</f>
        <v>1507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10711.35</v>
      </c>
      <c r="I118" s="31">
        <f t="shared" si="5"/>
        <v>0</v>
      </c>
      <c r="J118" s="31">
        <f>Bilanca!I126</f>
        <v>9155</v>
      </c>
      <c r="K118" s="31">
        <f>Bilanca!J126</f>
        <v>0</v>
      </c>
    </row>
    <row r="119" spans="4:11" ht="12.75">
      <c r="D119" s="4" t="s">
        <v>1521</v>
      </c>
      <c r="E119" s="4">
        <v>1</v>
      </c>
      <c r="F119" s="4">
        <f>Bilanca!G127</f>
        <v>118</v>
      </c>
      <c r="G119" s="4">
        <f>IF(Bilanca!H127=0,"",Bilanca!H127)</f>
      </c>
      <c r="H119" s="30">
        <f t="shared" si="4"/>
        <v>9025.82</v>
      </c>
      <c r="I119" s="31">
        <f t="shared" si="5"/>
        <v>0</v>
      </c>
      <c r="J119" s="31">
        <f>Bilanca!I127</f>
        <v>7649</v>
      </c>
      <c r="K119" s="31">
        <f>Bilanca!J127</f>
        <v>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4985487.66</v>
      </c>
      <c r="I124" s="31">
        <f t="shared" si="5"/>
        <v>0</v>
      </c>
      <c r="J124" s="31">
        <f>Bilanca!I132</f>
        <v>1705300</v>
      </c>
      <c r="K124" s="31">
        <f>Bilanca!J132</f>
        <v>1173971</v>
      </c>
    </row>
    <row r="125" spans="4:11" ht="12.75">
      <c r="D125" s="4" t="s">
        <v>1521</v>
      </c>
      <c r="E125" s="4">
        <v>1</v>
      </c>
      <c r="F125" s="4">
        <f>Bilanca!G133</f>
        <v>124</v>
      </c>
      <c r="G125" s="4">
        <f>IF(Bilanca!H133=0,"",Bilanca!H133)</f>
      </c>
      <c r="H125" s="30">
        <f t="shared" si="4"/>
        <v>38416.44</v>
      </c>
      <c r="I125" s="31">
        <f t="shared" si="5"/>
        <v>0</v>
      </c>
      <c r="J125" s="31">
        <f>Bilanca!I133</f>
        <v>10327</v>
      </c>
      <c r="K125" s="31">
        <f>Bilanca!J133</f>
        <v>10327</v>
      </c>
    </row>
    <row r="126" spans="4:11" ht="12.75">
      <c r="D126" s="4" t="s">
        <v>541</v>
      </c>
      <c r="E126" s="4">
        <v>2</v>
      </c>
      <c r="F126" s="4">
        <f>RDG!G8</f>
        <v>125</v>
      </c>
      <c r="G126" s="4">
        <f>IF(RDG!H8=0,"",RDG!H8)</f>
      </c>
      <c r="H126" s="30">
        <f t="shared" si="4"/>
        <v>3372197.5</v>
      </c>
      <c r="I126" s="4">
        <f t="shared" si="5"/>
        <v>0</v>
      </c>
      <c r="J126" s="31">
        <f>RDG!I8</f>
        <v>2365376</v>
      </c>
      <c r="K126" s="31">
        <f>RDG!J8</f>
        <v>166191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891526.03</v>
      </c>
      <c r="I128" s="4">
        <f aca="true" t="shared" si="7" ref="I128:I190">ABS(ROUND(J128,0)-J128)+ABS(ROUND(K128,0)-K128)</f>
        <v>0</v>
      </c>
      <c r="J128" s="31">
        <f>RDG!I10</f>
        <v>504293</v>
      </c>
      <c r="K128" s="31">
        <f>RDG!J10</f>
        <v>98848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2594499.7</v>
      </c>
      <c r="I131" s="4">
        <f t="shared" si="7"/>
        <v>0</v>
      </c>
      <c r="J131" s="31">
        <f>RDG!I13</f>
        <v>1861083</v>
      </c>
      <c r="K131" s="31">
        <f>RDG!J13</f>
        <v>67343</v>
      </c>
    </row>
    <row r="132" spans="4:11" ht="12.75">
      <c r="D132" s="4" t="s">
        <v>541</v>
      </c>
      <c r="E132" s="4">
        <v>2</v>
      </c>
      <c r="F132" s="4">
        <f>RDG!G14</f>
        <v>131</v>
      </c>
      <c r="G132" s="4">
        <f>IF(RDG!H14=0,"",RDG!H14)</f>
      </c>
      <c r="H132" s="30">
        <f t="shared" si="6"/>
        <v>3023413.1900000004</v>
      </c>
      <c r="I132" s="4">
        <f t="shared" si="7"/>
        <v>0</v>
      </c>
      <c r="J132" s="31">
        <f>RDG!I14</f>
        <v>2134745</v>
      </c>
      <c r="K132" s="31">
        <f>RDG!J14</f>
        <v>86602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776177.3600000001</v>
      </c>
      <c r="I134" s="4">
        <f t="shared" si="7"/>
        <v>0</v>
      </c>
      <c r="J134" s="31">
        <f>RDG!I16</f>
        <v>524660</v>
      </c>
      <c r="K134" s="31">
        <f>RDG!J16</f>
        <v>29466</v>
      </c>
    </row>
    <row r="135" spans="4:11" ht="12.75">
      <c r="D135" s="4" t="s">
        <v>541</v>
      </c>
      <c r="E135" s="4">
        <v>2</v>
      </c>
      <c r="F135" s="4">
        <f>RDG!G17</f>
        <v>134</v>
      </c>
      <c r="G135" s="4">
        <f>IF(RDG!H17=0,"",RDG!H17)</f>
      </c>
      <c r="H135" s="30">
        <f t="shared" si="6"/>
        <v>63755.86</v>
      </c>
      <c r="I135" s="4">
        <f t="shared" si="7"/>
        <v>0</v>
      </c>
      <c r="J135" s="31">
        <f>RDG!I17</f>
        <v>43837</v>
      </c>
      <c r="K135" s="31">
        <f>RDG!J17</f>
        <v>1871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728977.6799999999</v>
      </c>
      <c r="I137" s="4">
        <f t="shared" si="7"/>
        <v>0</v>
      </c>
      <c r="J137" s="31">
        <f>RDG!I19</f>
        <v>480823</v>
      </c>
      <c r="K137" s="31">
        <f>RDG!J19</f>
        <v>27595</v>
      </c>
    </row>
    <row r="138" spans="4:11" ht="12.75">
      <c r="D138" s="4" t="s">
        <v>541</v>
      </c>
      <c r="E138" s="4">
        <v>2</v>
      </c>
      <c r="F138" s="4">
        <f>RDG!G20</f>
        <v>137</v>
      </c>
      <c r="G138" s="4">
        <f>IF(RDG!H20=0,"",RDG!H20)</f>
      </c>
      <c r="H138" s="30">
        <f t="shared" si="6"/>
        <v>1984842.3</v>
      </c>
      <c r="I138" s="4">
        <f t="shared" si="7"/>
        <v>0</v>
      </c>
      <c r="J138" s="31">
        <f>RDG!I20</f>
        <v>1382942</v>
      </c>
      <c r="K138" s="31">
        <f>RDG!J20</f>
        <v>32924</v>
      </c>
    </row>
    <row r="139" spans="4:11" ht="12.75">
      <c r="D139" s="4" t="s">
        <v>541</v>
      </c>
      <c r="E139" s="4">
        <v>2</v>
      </c>
      <c r="F139" s="4">
        <f>RDG!G21</f>
        <v>138</v>
      </c>
      <c r="G139" s="4">
        <f>IF(RDG!H21=0,"",RDG!H21)</f>
      </c>
      <c r="H139" s="30">
        <f t="shared" si="6"/>
        <v>1213752.78</v>
      </c>
      <c r="I139" s="4">
        <f t="shared" si="7"/>
        <v>0</v>
      </c>
      <c r="J139" s="31">
        <f>RDG!I21</f>
        <v>840231</v>
      </c>
      <c r="K139" s="31">
        <f>RDG!J21</f>
        <v>19650</v>
      </c>
    </row>
    <row r="140" spans="4:11" ht="12.75">
      <c r="D140" s="4" t="s">
        <v>541</v>
      </c>
      <c r="E140" s="4">
        <v>2</v>
      </c>
      <c r="F140" s="4">
        <f>RDG!G22</f>
        <v>139</v>
      </c>
      <c r="G140" s="4">
        <f>IF(RDG!H22=0,"",RDG!H22)</f>
      </c>
      <c r="H140" s="30">
        <f t="shared" si="6"/>
        <v>511647.88</v>
      </c>
      <c r="I140" s="4">
        <f t="shared" si="7"/>
        <v>0</v>
      </c>
      <c r="J140" s="31">
        <f>RDG!I22</f>
        <v>350870</v>
      </c>
      <c r="K140" s="31">
        <f>RDG!J22</f>
        <v>8611</v>
      </c>
    </row>
    <row r="141" spans="4:11" ht="12.75">
      <c r="D141" s="4" t="s">
        <v>541</v>
      </c>
      <c r="E141" s="4">
        <v>2</v>
      </c>
      <c r="F141" s="4">
        <f>RDG!G23</f>
        <v>140</v>
      </c>
      <c r="G141" s="4">
        <f>IF(RDG!H23=0,"",RDG!H23)</f>
      </c>
      <c r="H141" s="30">
        <f t="shared" si="6"/>
        <v>281633.80000000005</v>
      </c>
      <c r="I141" s="4">
        <f t="shared" si="7"/>
        <v>0</v>
      </c>
      <c r="J141" s="31">
        <f>RDG!I23</f>
        <v>191841</v>
      </c>
      <c r="K141" s="31">
        <f>RDG!J23</f>
        <v>4663</v>
      </c>
    </row>
    <row r="142" spans="4:11" ht="12.75">
      <c r="D142" s="4" t="s">
        <v>541</v>
      </c>
      <c r="E142" s="4">
        <v>2</v>
      </c>
      <c r="F142" s="4">
        <f>RDG!G24</f>
        <v>141</v>
      </c>
      <c r="G142" s="4">
        <f>IF(RDG!H24=0,"",RDG!H24)</f>
      </c>
      <c r="H142" s="30">
        <f t="shared" si="6"/>
        <v>71619.54000000001</v>
      </c>
      <c r="I142" s="4">
        <f t="shared" si="7"/>
        <v>0</v>
      </c>
      <c r="J142" s="31">
        <f>RDG!I24</f>
        <v>27394</v>
      </c>
      <c r="K142" s="31">
        <f>RDG!J24</f>
        <v>11700</v>
      </c>
    </row>
    <row r="143" spans="4:11" ht="12.75">
      <c r="D143" s="4" t="s">
        <v>541</v>
      </c>
      <c r="E143" s="4">
        <v>2</v>
      </c>
      <c r="F143" s="4">
        <f>RDG!G25</f>
        <v>142</v>
      </c>
      <c r="G143" s="4">
        <f>IF(RDG!H25=0,"",RDG!H25)</f>
      </c>
      <c r="H143" s="30">
        <f t="shared" si="6"/>
        <v>262789.46</v>
      </c>
      <c r="I143" s="4">
        <f t="shared" si="7"/>
        <v>0</v>
      </c>
      <c r="J143" s="31">
        <f>RDG!I25</f>
        <v>178673</v>
      </c>
      <c r="K143" s="31">
        <f>RDG!J25</f>
        <v>3195</v>
      </c>
    </row>
    <row r="144" spans="4:11" ht="12.75">
      <c r="D144" s="4" t="s">
        <v>541</v>
      </c>
      <c r="E144" s="4">
        <v>2</v>
      </c>
      <c r="F144" s="4">
        <f>RDG!G26</f>
        <v>143</v>
      </c>
      <c r="G144" s="4">
        <f>IF(RDG!H26=0,"",RDG!H26)</f>
      </c>
      <c r="H144" s="30">
        <f t="shared" si="6"/>
        <v>29289.260000000002</v>
      </c>
      <c r="I144" s="4">
        <f t="shared" si="7"/>
        <v>0</v>
      </c>
      <c r="J144" s="31">
        <f>RDG!I26</f>
        <v>2856</v>
      </c>
      <c r="K144" s="31">
        <f>RDG!J26</f>
        <v>8813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29698.899999999998</v>
      </c>
      <c r="I146" s="4">
        <f t="shared" si="7"/>
        <v>0</v>
      </c>
      <c r="J146" s="31">
        <f>RDG!I28</f>
        <v>2856</v>
      </c>
      <c r="K146" s="31">
        <f>RDG!J28</f>
        <v>8813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29418.84</v>
      </c>
      <c r="I154" s="4">
        <f t="shared" si="7"/>
        <v>0</v>
      </c>
      <c r="J154" s="31">
        <f>RDG!I36</f>
        <v>18220</v>
      </c>
      <c r="K154" s="31">
        <f>RDG!J36</f>
        <v>504</v>
      </c>
    </row>
    <row r="155" spans="4:11" ht="12.75">
      <c r="D155" s="4" t="s">
        <v>541</v>
      </c>
      <c r="E155" s="4">
        <v>2</v>
      </c>
      <c r="F155" s="4">
        <f>RDG!G37</f>
        <v>154</v>
      </c>
      <c r="G155" s="4">
        <f>IF(RDG!H37=0,"",RDG!H37)</f>
      </c>
      <c r="H155" s="30">
        <f t="shared" si="6"/>
        <v>55994.399999999994</v>
      </c>
      <c r="I155" s="4">
        <f t="shared" si="7"/>
        <v>0</v>
      </c>
      <c r="J155" s="31">
        <f>RDG!I37</f>
        <v>34038</v>
      </c>
      <c r="K155" s="31">
        <f>RDG!J37</f>
        <v>1161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56332.28999999999</v>
      </c>
      <c r="I162" s="4">
        <f t="shared" si="7"/>
        <v>0</v>
      </c>
      <c r="J162" s="31">
        <f>RDG!I44</f>
        <v>33715</v>
      </c>
      <c r="K162" s="31">
        <f>RDG!J44</f>
        <v>637</v>
      </c>
    </row>
    <row r="163" spans="4:11" ht="12.75">
      <c r="D163" s="4" t="s">
        <v>541</v>
      </c>
      <c r="E163" s="4">
        <v>2</v>
      </c>
      <c r="F163" s="4">
        <f>RDG!G45</f>
        <v>162</v>
      </c>
      <c r="G163" s="4">
        <f>IF(RDG!H45=0,"",RDG!H45)</f>
      </c>
      <c r="H163" s="30">
        <f t="shared" si="6"/>
        <v>2221.02</v>
      </c>
      <c r="I163" s="4">
        <f t="shared" si="7"/>
        <v>0</v>
      </c>
      <c r="J163" s="31">
        <f>RDG!I45</f>
        <v>323</v>
      </c>
      <c r="K163" s="31">
        <f>RDG!J45</f>
        <v>524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24456.3</v>
      </c>
      <c r="I166" s="4">
        <f t="shared" si="7"/>
        <v>0</v>
      </c>
      <c r="J166" s="31">
        <f>RDG!I48</f>
        <v>14358</v>
      </c>
      <c r="K166" s="31">
        <f>RDG!J48</f>
        <v>232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1538.88</v>
      </c>
      <c r="I169" s="4">
        <f t="shared" si="7"/>
        <v>0</v>
      </c>
      <c r="J169" s="31">
        <f>RDG!I51</f>
        <v>916</v>
      </c>
      <c r="K169" s="31">
        <f>RDG!J51</f>
        <v>0</v>
      </c>
    </row>
    <row r="170" spans="4:11" ht="12.75">
      <c r="D170" s="4" t="s">
        <v>541</v>
      </c>
      <c r="E170" s="4">
        <v>2</v>
      </c>
      <c r="F170" s="4">
        <f>RDG!G52</f>
        <v>169</v>
      </c>
      <c r="G170" s="4">
        <f>IF(RDG!H52=0,"",RDG!H52)</f>
      </c>
      <c r="H170" s="30">
        <f t="shared" si="6"/>
        <v>23501.14</v>
      </c>
      <c r="I170" s="4">
        <f t="shared" si="7"/>
        <v>0</v>
      </c>
      <c r="J170" s="31">
        <f>RDG!I52</f>
        <v>13442</v>
      </c>
      <c r="K170" s="31">
        <f>RDG!J52</f>
        <v>232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4839388.86</v>
      </c>
      <c r="I178" s="4">
        <f t="shared" si="7"/>
        <v>0</v>
      </c>
      <c r="J178" s="31">
        <f>RDG!I60</f>
        <v>2399414</v>
      </c>
      <c r="K178" s="31">
        <f>RDG!J60</f>
        <v>167352</v>
      </c>
    </row>
    <row r="179" spans="4:11" ht="12.75">
      <c r="D179" s="4" t="s">
        <v>541</v>
      </c>
      <c r="E179" s="4">
        <v>2</v>
      </c>
      <c r="F179" s="4">
        <f>RDG!G61</f>
        <v>178</v>
      </c>
      <c r="G179" s="4">
        <f>IF(RDG!H61=0,"",RDG!H61)</f>
      </c>
      <c r="H179" s="30">
        <f t="shared" si="6"/>
        <v>4134532.38</v>
      </c>
      <c r="I179" s="4">
        <f t="shared" si="7"/>
        <v>0</v>
      </c>
      <c r="J179" s="31">
        <f>RDG!I61</f>
        <v>2149103</v>
      </c>
      <c r="K179" s="31">
        <f>RDG!J61</f>
        <v>86834</v>
      </c>
    </row>
    <row r="180" spans="4:11" ht="12.75">
      <c r="D180" s="4" t="s">
        <v>541</v>
      </c>
      <c r="E180" s="4">
        <v>2</v>
      </c>
      <c r="F180" s="4">
        <f>RDG!G62</f>
        <v>179</v>
      </c>
      <c r="G180" s="4">
        <f>IF(RDG!H62=0,"",RDG!H62)</f>
      </c>
      <c r="H180" s="30">
        <f t="shared" si="6"/>
        <v>736311.13</v>
      </c>
      <c r="I180" s="4">
        <f t="shared" si="7"/>
        <v>0</v>
      </c>
      <c r="J180" s="31">
        <f>RDG!I62</f>
        <v>250311</v>
      </c>
      <c r="K180" s="31">
        <f>RDG!J62</f>
        <v>80518</v>
      </c>
    </row>
    <row r="181" spans="4:11" ht="12.75">
      <c r="D181" s="4" t="s">
        <v>541</v>
      </c>
      <c r="E181" s="4">
        <v>2</v>
      </c>
      <c r="F181" s="4">
        <f>RDG!G63</f>
        <v>180</v>
      </c>
      <c r="G181" s="4">
        <f>IF(RDG!H63=0,"",RDG!H63)</f>
      </c>
      <c r="H181" s="30">
        <f t="shared" si="6"/>
        <v>740424.6000000001</v>
      </c>
      <c r="I181" s="4">
        <f t="shared" si="7"/>
        <v>0</v>
      </c>
      <c r="J181" s="31">
        <f>RDG!I63</f>
        <v>250311</v>
      </c>
      <c r="K181" s="31">
        <f>RDG!J63</f>
        <v>80518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100398.48</v>
      </c>
      <c r="I183" s="4">
        <f t="shared" si="7"/>
        <v>0</v>
      </c>
      <c r="J183" s="31">
        <f>RDG!I65</f>
        <v>34288</v>
      </c>
      <c r="K183" s="31">
        <f>RDG!J65</f>
        <v>10438</v>
      </c>
    </row>
    <row r="184" spans="4:11" ht="12.75">
      <c r="D184" s="4" t="s">
        <v>541</v>
      </c>
      <c r="E184" s="4">
        <v>2</v>
      </c>
      <c r="F184" s="4">
        <f>RDG!G66</f>
        <v>183</v>
      </c>
      <c r="G184" s="4">
        <f>IF(RDG!H66=0,"",RDG!H66)</f>
      </c>
      <c r="H184" s="30">
        <f t="shared" si="6"/>
        <v>651814.89</v>
      </c>
      <c r="I184" s="4">
        <f t="shared" si="7"/>
        <v>0</v>
      </c>
      <c r="J184" s="31">
        <f>RDG!I66</f>
        <v>216023</v>
      </c>
      <c r="K184" s="31">
        <f>RDG!J66</f>
        <v>70080</v>
      </c>
    </row>
    <row r="185" spans="4:11" ht="12.75">
      <c r="D185" s="4" t="s">
        <v>541</v>
      </c>
      <c r="E185" s="4">
        <v>2</v>
      </c>
      <c r="F185" s="4">
        <f>RDG!G67</f>
        <v>184</v>
      </c>
      <c r="G185" s="4">
        <f>IF(RDG!H67=0,"",RDG!H67)</f>
      </c>
      <c r="H185" s="30">
        <f t="shared" si="6"/>
        <v>655376.72</v>
      </c>
      <c r="I185" s="4">
        <f t="shared" si="7"/>
        <v>0</v>
      </c>
      <c r="J185" s="31">
        <f>RDG!I67</f>
        <v>216023</v>
      </c>
      <c r="K185" s="31">
        <f>RDG!J67</f>
        <v>70080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1691793.4900000002</v>
      </c>
      <c r="I242" s="4">
        <f t="shared" si="11"/>
        <v>0</v>
      </c>
      <c r="J242" s="31">
        <f>Dodatni!I35</f>
        <v>504293</v>
      </c>
      <c r="K242" s="31">
        <f>Dodatni!J35</f>
        <v>98848</v>
      </c>
    </row>
    <row r="243" spans="4:11" ht="12.75">
      <c r="D243" s="4" t="s">
        <v>1522</v>
      </c>
      <c r="E243" s="4">
        <v>3</v>
      </c>
      <c r="F243" s="4">
        <f>Dodatni!H37</f>
        <v>242</v>
      </c>
      <c r="H243" s="30">
        <f t="shared" si="10"/>
        <v>1698813.3800000001</v>
      </c>
      <c r="I243" s="4">
        <f t="shared" si="11"/>
        <v>0</v>
      </c>
      <c r="J243" s="31">
        <f>Dodatni!I37</f>
        <v>504293</v>
      </c>
      <c r="K243" s="31">
        <f>Dodatni!J37</f>
        <v>98848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253485.78000000003</v>
      </c>
      <c r="I247" s="4">
        <f t="shared" si="11"/>
        <v>0</v>
      </c>
      <c r="J247" s="31">
        <f>Dodatni!I43</f>
        <v>103043</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80377.92</v>
      </c>
      <c r="I253" s="4">
        <f t="shared" si="11"/>
        <v>0</v>
      </c>
      <c r="J253" s="31">
        <f>Dodatni!I50</f>
        <v>28750</v>
      </c>
      <c r="K253" s="31">
        <f>Dodatni!J50</f>
        <v>1573</v>
      </c>
    </row>
    <row r="254" spans="4:11" ht="12.75">
      <c r="D254" s="4" t="s">
        <v>1522</v>
      </c>
      <c r="E254" s="4">
        <v>3</v>
      </c>
      <c r="F254" s="4">
        <f>Dodatni!H51</f>
        <v>253</v>
      </c>
      <c r="H254" s="30">
        <f t="shared" si="10"/>
        <v>1366.2</v>
      </c>
      <c r="I254" s="4">
        <f t="shared" si="11"/>
        <v>0</v>
      </c>
      <c r="J254" s="31">
        <f>Dodatni!I51</f>
        <v>424</v>
      </c>
      <c r="K254" s="31">
        <f>Dodatni!J51</f>
        <v>58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15422.57</v>
      </c>
      <c r="I258" s="4">
        <f t="shared" si="11"/>
        <v>0</v>
      </c>
      <c r="J258" s="31">
        <f>Dodatni!I55</f>
        <v>6001</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23480.440000000002</v>
      </c>
      <c r="I263" s="4">
        <f t="shared" si="11"/>
        <v>0</v>
      </c>
      <c r="J263" s="31">
        <f>Dodatni!I60</f>
        <v>8962</v>
      </c>
      <c r="K263" s="31">
        <f>Dodatni!J60</f>
        <v>0</v>
      </c>
    </row>
    <row r="264" spans="4:11" ht="12.75">
      <c r="D264" s="4" t="s">
        <v>1522</v>
      </c>
      <c r="E264" s="4">
        <v>3</v>
      </c>
      <c r="F264" s="4">
        <f>Dodatni!H61</f>
        <v>263</v>
      </c>
      <c r="H264" s="30">
        <f t="shared" si="10"/>
        <v>23570.06</v>
      </c>
      <c r="I264" s="4">
        <f t="shared" si="11"/>
        <v>0</v>
      </c>
      <c r="J264" s="31">
        <f>Dodatni!I61</f>
        <v>8962</v>
      </c>
      <c r="K264" s="31">
        <f>Dodatni!J61</f>
        <v>0</v>
      </c>
    </row>
    <row r="265" spans="4:11" ht="12.75">
      <c r="D265" s="4" t="s">
        <v>1522</v>
      </c>
      <c r="E265" s="4">
        <v>3</v>
      </c>
      <c r="F265" s="4">
        <f>Dodatni!H62</f>
        <v>264</v>
      </c>
      <c r="H265" s="30">
        <f t="shared" si="10"/>
        <v>1518</v>
      </c>
      <c r="I265" s="4">
        <f t="shared" si="11"/>
        <v>0</v>
      </c>
      <c r="J265" s="31">
        <f>Dodatni!I62</f>
        <v>575</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494118.21</v>
      </c>
      <c r="I268" s="4">
        <f t="shared" si="11"/>
        <v>0</v>
      </c>
      <c r="J268" s="31">
        <f>Dodatni!I65</f>
        <v>178673</v>
      </c>
      <c r="K268" s="31">
        <f>Dodatni!J65</f>
        <v>3195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121940.91</v>
      </c>
      <c r="I274" s="4">
        <f t="shared" si="11"/>
        <v>0</v>
      </c>
      <c r="J274" s="31">
        <f>Dodatni!I71</f>
        <v>44667</v>
      </c>
      <c r="K274" s="31">
        <f>Dodatni!J71</f>
        <v>0</v>
      </c>
    </row>
    <row r="275" spans="4:11" ht="12.75">
      <c r="D275" s="4" t="s">
        <v>1522</v>
      </c>
      <c r="E275" s="4">
        <v>3</v>
      </c>
      <c r="F275" s="4">
        <f>Dodatni!H73</f>
        <v>274</v>
      </c>
      <c r="H275" s="30">
        <f aca="true" t="shared" si="12" ref="H275:H284">J275/100*F275+2*K275/100*F275</f>
        <v>95867.12</v>
      </c>
      <c r="I275" s="4">
        <f aca="true" t="shared" si="13" ref="I275:I284">ABS(ROUND(J275,0)-J275)+ABS(ROUND(K275,0)-K275)</f>
        <v>0</v>
      </c>
      <c r="J275" s="31">
        <f>Dodatni!I73</f>
        <v>33714</v>
      </c>
      <c r="K275" s="31">
        <f>Dodatni!J73</f>
        <v>637</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2537.32</v>
      </c>
      <c r="I278" s="4">
        <f t="shared" si="13"/>
        <v>0</v>
      </c>
      <c r="J278" s="31">
        <f>Dodatni!I76</f>
        <v>916</v>
      </c>
      <c r="K278" s="31">
        <f>Dodatni!J76</f>
        <v>0</v>
      </c>
    </row>
    <row r="279" spans="4:11" ht="12.75">
      <c r="D279" s="4" t="s">
        <v>1522</v>
      </c>
      <c r="E279" s="4">
        <v>3</v>
      </c>
      <c r="F279" s="4">
        <f>Dodatni!H78</f>
        <v>278</v>
      </c>
      <c r="H279" s="30">
        <f t="shared" si="12"/>
        <v>46834.659999999996</v>
      </c>
      <c r="I279" s="4">
        <f t="shared" si="13"/>
        <v>0</v>
      </c>
      <c r="J279" s="31">
        <f>Dodatni!I78</f>
        <v>16847</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47171.6</v>
      </c>
      <c r="I281" s="4">
        <f t="shared" si="13"/>
        <v>0</v>
      </c>
      <c r="J281" s="31">
        <f>Dodatni!I80</f>
        <v>16847</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REDEA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40000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61539263602</v>
      </c>
      <c r="V4" s="211" t="s">
        <v>2356</v>
      </c>
      <c r="W4" s="232" t="str">
        <f>RefStr!F31</f>
        <v>ČAKOVEC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01331981</v>
      </c>
      <c r="V5" s="211" t="s">
        <v>2357</v>
      </c>
      <c r="W5" s="232" t="str">
        <f>RefStr!C33</f>
        <v>Bana Josipa Jelačića 22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070048488</v>
      </c>
      <c r="V6" s="211" t="s">
        <v>2568</v>
      </c>
      <c r="W6" s="232" t="str">
        <f>RefStr!L35</f>
        <v>040/395-560</v>
      </c>
      <c r="X6" s="211" t="s">
        <v>2514</v>
      </c>
      <c r="Y6" s="232" t="str">
        <f>RefStr!C68</f>
        <v>Nada Kanižaj</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REDEA@REDEA.HR</v>
      </c>
      <c r="X7" s="211" t="s">
        <v>2515</v>
      </c>
      <c r="Y7" s="232" t="str">
        <f>RefStr!C70</f>
        <v>040/364-037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7022</v>
      </c>
      <c r="X8" s="211" t="s">
        <v>2516</v>
      </c>
      <c r="Y8" s="232" t="str">
        <f>TRIM(UPPER(RefStr!C72))</f>
        <v>INFO@RIN-COMMERCE.HR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9</v>
      </c>
      <c r="Q9" s="231">
        <f>RefStr!F58</f>
        <v>1</v>
      </c>
      <c r="R9" s="211" t="s">
        <v>1860</v>
      </c>
      <c r="S9" s="232">
        <f>IF(RefStr!F4&lt;&gt;"",RefStr!F4,0)</f>
        <v>43830</v>
      </c>
      <c r="T9" s="211" t="s">
        <v>1821</v>
      </c>
      <c r="U9" s="232">
        <f>RefStr!C39</f>
        <v>60</v>
      </c>
      <c r="V9" s="211" t="s">
        <v>1414</v>
      </c>
      <c r="W9" s="232" t="str">
        <f>RefStr!D42</f>
        <v>Savjetovanje u vezi s poslovanjem i os...</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16</v>
      </c>
      <c r="Q10" s="233">
        <f>RefStr!F56</f>
        <v>0</v>
      </c>
      <c r="R10" s="213" t="s">
        <v>1863</v>
      </c>
      <c r="S10" s="233">
        <f>RefStr!C23</f>
        <v>1</v>
      </c>
      <c r="T10" s="213" t="s">
        <v>2573</v>
      </c>
      <c r="U10" s="233" t="str">
        <f>RefStr!D39</f>
        <v>Čakovec</v>
      </c>
      <c r="V10" s="240"/>
      <c r="W10" s="241"/>
      <c r="X10" s="242" t="s">
        <v>1974</v>
      </c>
      <c r="Y10" s="243">
        <f>RefStr!F12</f>
        <v>2019</v>
      </c>
      <c r="Z10" s="213" t="s">
        <v>209</v>
      </c>
      <c r="AA10" s="233" t="str">
        <f>RefStr!A75</f>
        <v>POLANEC MARINOVIĆ SANDRA</v>
      </c>
    </row>
    <row r="11" spans="1:25" ht="13.5" customHeight="1">
      <c r="A11" s="511" t="s">
        <v>642</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4" t="s">
        <v>516</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Provjera</v>
      </c>
      <c r="C96" s="487" t="s">
        <v>757</v>
      </c>
      <c r="D96" s="487"/>
      <c r="E96" s="487"/>
      <c r="F96" s="487"/>
      <c r="G96" s="487"/>
      <c r="H96" s="487"/>
      <c r="I96" s="487"/>
      <c r="J96" s="487"/>
      <c r="L96" s="195">
        <v>0</v>
      </c>
      <c r="M96" s="195">
        <f aca="true" t="shared" si="16" ref="M96:M105">MAX(N96:W96)</f>
        <v>1</v>
      </c>
      <c r="N96" s="195">
        <f>IF(AND(P9=0,Q9&gt;2,P8&gt;0),1,0)</f>
        <v>0</v>
      </c>
      <c r="O96" s="195">
        <f>IF(AND(P10=0,Q10&gt;2,P8&gt;0),1,0)</f>
        <v>0</v>
      </c>
      <c r="P96" s="195">
        <f>IF(AND(P9&gt;2,Q9=0,P8&gt;0),1,0)</f>
        <v>0</v>
      </c>
      <c r="Q96" s="198">
        <f>IF(AND(P10&gt;2,Q10=0,P8&gt;0),1,0)</f>
        <v>1</v>
      </c>
      <c r="R96" s="198">
        <f>IF(AND(P9+Q9&gt;10,OR(P9&lt;0.39*(P9+Q9),Q9&lt;0.39*(P9+Q9))),1,0)</f>
        <v>0</v>
      </c>
      <c r="S96" s="198">
        <f>IF(AND(P10+Q10&gt;10,OR(P10&lt;0.39*(P10+Q10),Q10&lt;0.39*(P10+Q10))),1,0)</f>
        <v>1</v>
      </c>
      <c r="T96" s="198">
        <f>IF(AND(P9+P10&gt;10,OR(P9&lt;0.39*(P9+P10),P10&lt;0.39*(P9+P10))),1,0)</f>
        <v>1</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0</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E:\REDEA 2019\[GFI-POD, Redea.xls]Dodatni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G74" sqref="G7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133198.1</v>
      </c>
    </row>
    <row r="13" spans="4:17" ht="9.75" customHeight="1">
      <c r="D13" s="156"/>
      <c r="E13" s="162"/>
      <c r="H13" s="27"/>
      <c r="I13" s="163"/>
      <c r="J13" s="163"/>
      <c r="K13" s="156"/>
      <c r="L13" s="156"/>
      <c r="M13" s="156"/>
      <c r="N13" s="156"/>
      <c r="P13" s="54" t="s">
        <v>2353</v>
      </c>
      <c r="Q13" s="55">
        <f>INT(VALUE(M27))/50</f>
        <v>1400969.76</v>
      </c>
    </row>
    <row r="14" spans="1:17" ht="15">
      <c r="A14" s="340" t="s">
        <v>2714</v>
      </c>
      <c r="B14" s="340"/>
      <c r="C14" s="340"/>
      <c r="D14" s="164"/>
      <c r="E14" s="165"/>
      <c r="F14" s="338"/>
      <c r="G14" s="339"/>
      <c r="H14" s="339"/>
      <c r="I14" s="156"/>
      <c r="J14" s="346" t="s">
        <v>2100</v>
      </c>
      <c r="K14" s="347"/>
      <c r="L14" s="347"/>
      <c r="M14" s="347"/>
      <c r="N14" s="347"/>
      <c r="P14" s="54" t="s">
        <v>2718</v>
      </c>
      <c r="Q14" s="55">
        <f>INT(VALUE(C27))/100</f>
        <v>615392636.02</v>
      </c>
    </row>
    <row r="15" spans="1:17" ht="19.5" customHeight="1">
      <c r="A15" s="343">
        <f>Skriveni!B59</f>
        <v>668122583.4200001</v>
      </c>
      <c r="B15" s="344"/>
      <c r="C15" s="345"/>
      <c r="D15" s="60"/>
      <c r="E15" s="60"/>
      <c r="F15" s="60"/>
      <c r="G15" s="60"/>
      <c r="H15" s="60"/>
      <c r="I15" s="60"/>
      <c r="J15" s="60"/>
      <c r="K15" s="60"/>
      <c r="L15" s="60"/>
      <c r="M15" s="60"/>
      <c r="N15" s="60"/>
      <c r="P15" s="54" t="s">
        <v>1817</v>
      </c>
      <c r="Q15" s="55">
        <f>LEN(Skriveni!B9)</f>
        <v>12</v>
      </c>
    </row>
    <row r="16" spans="4:17" ht="12.75" customHeight="1">
      <c r="D16" s="60"/>
      <c r="E16" s="60"/>
      <c r="F16" s="60"/>
      <c r="G16" s="60"/>
      <c r="H16" s="60"/>
      <c r="I16" s="60"/>
      <c r="P16" s="54" t="s">
        <v>1818</v>
      </c>
      <c r="Q16" s="55">
        <f>INT(VALUE(C31))/100</f>
        <v>400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60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40000</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60</v>
      </c>
      <c r="D39" s="326" t="str">
        <f>IF(C39="","Šifra grada/općine nije upisana",IF(ISNA(LOOKUP(C39,A177:A732,A177:A732)),"Šifra grada/općine ne postoji",IF(LOOKUP(C39,A177:A732,A177:A732)&lt;&gt;C39,"Šifra grada/općine ne postoji",LOOKUP(C39,A177:A732,B177:B732))))</f>
        <v>Čakovec</v>
      </c>
      <c r="E39" s="327"/>
      <c r="F39" s="327"/>
      <c r="G39" s="327"/>
      <c r="H39" s="314" t="s">
        <v>2222</v>
      </c>
      <c r="I39" s="292"/>
      <c r="J39" s="58">
        <f>IF(C39&gt;0,LOOKUP(C39,A177:A732,C177:C732),"")</f>
        <v>20</v>
      </c>
      <c r="K39" s="315" t="str">
        <f>IF(J39="","Treba prvo upisati šifru grada/općine",LOOKUP(J39,A153:A173,B153:B173))</f>
        <v>MEĐIMURSKA</v>
      </c>
      <c r="L39" s="315"/>
      <c r="M39" s="315"/>
      <c r="N39" s="315"/>
      <c r="P39" s="54" t="s">
        <v>1826</v>
      </c>
      <c r="Q39" s="55">
        <f>C56+2*F56+3*C58+4*F58</f>
        <v>47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375</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16</v>
      </c>
      <c r="D56" s="272" t="s">
        <v>2898</v>
      </c>
      <c r="E56" s="273"/>
      <c r="F56" s="44">
        <v>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v>
      </c>
      <c r="D58" s="309" t="s">
        <v>2898</v>
      </c>
      <c r="E58" s="309"/>
      <c r="F58" s="44">
        <v>1</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I127" sqref="I12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61539263602; REDEA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29329</v>
      </c>
      <c r="J10" s="70">
        <f>J11+J18+J28+J39+J44</f>
        <v>17628</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29329</v>
      </c>
      <c r="J18" s="70">
        <f>SUM(J19:J27)</f>
        <v>17628</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29329</v>
      </c>
      <c r="J22" s="71">
        <v>17628</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1675971</v>
      </c>
      <c r="J45" s="70">
        <f>J46+J54+J61+J71</f>
        <v>1156343</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305732</v>
      </c>
      <c r="J54" s="70">
        <f>SUM(J55:J60)</f>
        <v>313179</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11888</v>
      </c>
      <c r="J57" s="71"/>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22144</v>
      </c>
      <c r="J59" s="71">
        <v>41477</v>
      </c>
    </row>
    <row r="60" spans="1:10" ht="13.5" customHeight="1">
      <c r="A60" s="381" t="s">
        <v>2638</v>
      </c>
      <c r="B60" s="381"/>
      <c r="C60" s="381"/>
      <c r="D60" s="381"/>
      <c r="E60" s="381"/>
      <c r="F60" s="381"/>
      <c r="G60" s="19">
        <v>52</v>
      </c>
      <c r="H60" s="20"/>
      <c r="I60" s="71">
        <v>271700</v>
      </c>
      <c r="J60" s="71">
        <v>271702</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1370239</v>
      </c>
      <c r="J71" s="71">
        <v>843164</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1705300</v>
      </c>
      <c r="J73" s="70">
        <f>J9+J10+J45+J72</f>
        <v>1173971</v>
      </c>
    </row>
    <row r="74" spans="1:10" ht="13.5" customHeight="1">
      <c r="A74" s="384" t="s">
        <v>257</v>
      </c>
      <c r="B74" s="384"/>
      <c r="C74" s="384"/>
      <c r="D74" s="384"/>
      <c r="E74" s="384"/>
      <c r="F74" s="384"/>
      <c r="G74" s="21">
        <v>66</v>
      </c>
      <c r="H74" s="22"/>
      <c r="I74" s="72">
        <v>10327</v>
      </c>
      <c r="J74" s="72">
        <v>10327</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1102383</v>
      </c>
      <c r="J76" s="70">
        <f>J77+J78+J79+J85+J86+J90+J93+J96</f>
        <v>1172464</v>
      </c>
      <c r="L76" s="2" t="s">
        <v>2591</v>
      </c>
    </row>
    <row r="77" spans="1:10" ht="13.5" customHeight="1">
      <c r="A77" s="382" t="s">
        <v>935</v>
      </c>
      <c r="B77" s="382"/>
      <c r="C77" s="382"/>
      <c r="D77" s="382"/>
      <c r="E77" s="382"/>
      <c r="F77" s="382"/>
      <c r="G77" s="19">
        <v>68</v>
      </c>
      <c r="H77" s="20"/>
      <c r="I77" s="71">
        <v>868000</v>
      </c>
      <c r="J77" s="71">
        <v>868000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900</v>
      </c>
      <c r="J79" s="70">
        <f>J80+J81-J82+J83+J84</f>
        <v>900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900</v>
      </c>
      <c r="J84" s="71">
        <v>900</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17460</v>
      </c>
      <c r="J90" s="70">
        <f>J91-J92</f>
        <v>233484</v>
      </c>
      <c r="L90" s="2" t="s">
        <v>2591</v>
      </c>
    </row>
    <row r="91" spans="1:10" ht="13.5" customHeight="1">
      <c r="A91" s="381" t="s">
        <v>1139</v>
      </c>
      <c r="B91" s="381"/>
      <c r="C91" s="381"/>
      <c r="D91" s="381"/>
      <c r="E91" s="381"/>
      <c r="F91" s="381"/>
      <c r="G91" s="19">
        <v>82</v>
      </c>
      <c r="H91" s="20"/>
      <c r="I91" s="71">
        <v>17460</v>
      </c>
      <c r="J91" s="71">
        <v>233484</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216023</v>
      </c>
      <c r="J93" s="70">
        <f>J94-J95</f>
        <v>70080</v>
      </c>
      <c r="L93" s="2" t="s">
        <v>2591</v>
      </c>
    </row>
    <row r="94" spans="1:10" ht="13.5" customHeight="1">
      <c r="A94" s="381" t="s">
        <v>2640</v>
      </c>
      <c r="B94" s="381"/>
      <c r="C94" s="381"/>
      <c r="D94" s="381"/>
      <c r="E94" s="381"/>
      <c r="F94" s="381"/>
      <c r="G94" s="19">
        <v>85</v>
      </c>
      <c r="H94" s="20"/>
      <c r="I94" s="71">
        <v>216023</v>
      </c>
      <c r="J94" s="71">
        <v>70080</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585000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v>585000</v>
      </c>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17917</v>
      </c>
      <c r="J116" s="70">
        <f>SUM(J117:J130)</f>
        <v>1507</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1113</v>
      </c>
      <c r="J124" s="71">
        <v>1507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9155</v>
      </c>
      <c r="J126" s="71"/>
    </row>
    <row r="127" spans="1:10" ht="13.5" customHeight="1">
      <c r="A127" s="381" t="s">
        <v>364</v>
      </c>
      <c r="B127" s="381"/>
      <c r="C127" s="381"/>
      <c r="D127" s="381"/>
      <c r="E127" s="381"/>
      <c r="F127" s="381"/>
      <c r="G127" s="19">
        <v>118</v>
      </c>
      <c r="H127" s="20"/>
      <c r="I127" s="71">
        <v>7649</v>
      </c>
      <c r="J127" s="71"/>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1705300</v>
      </c>
      <c r="J132" s="70">
        <f>J76+J97+J104+J116+J131</f>
        <v>1173971</v>
      </c>
    </row>
    <row r="133" spans="1:10" ht="13.5" customHeight="1">
      <c r="A133" s="384" t="s">
        <v>662</v>
      </c>
      <c r="B133" s="384"/>
      <c r="C133" s="384"/>
      <c r="D133" s="384"/>
      <c r="E133" s="384"/>
      <c r="F133" s="384"/>
      <c r="G133" s="21">
        <v>124</v>
      </c>
      <c r="H133" s="22"/>
      <c r="I133" s="72">
        <v>10327</v>
      </c>
      <c r="J133" s="72">
        <v>10327</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70" sqref="J7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61539263602; REDEA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2365376</v>
      </c>
      <c r="J8" s="84">
        <f>SUM(J9:J13)</f>
        <v>166191</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504293</v>
      </c>
      <c r="J10" s="71">
        <v>98848</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1861083</v>
      </c>
      <c r="J13" s="71">
        <v>67343</v>
      </c>
    </row>
    <row r="14" spans="1:10" s="2" customFormat="1" ht="13.5" customHeight="1">
      <c r="A14" s="383" t="s">
        <v>1837</v>
      </c>
      <c r="B14" s="383"/>
      <c r="C14" s="383"/>
      <c r="D14" s="383"/>
      <c r="E14" s="383"/>
      <c r="F14" s="383"/>
      <c r="G14" s="19">
        <v>131</v>
      </c>
      <c r="H14" s="20"/>
      <c r="I14" s="70">
        <f>I15+I16+I20+I24+I25+I26+I29+I36</f>
        <v>2134745</v>
      </c>
      <c r="J14" s="70">
        <f>J15+J16+J20+J24+J25+J26+J29+J36</f>
        <v>86602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524660</v>
      </c>
      <c r="J16" s="70">
        <f>SUM(J17:J19)</f>
        <v>29466</v>
      </c>
    </row>
    <row r="17" spans="1:10" s="2" customFormat="1" ht="13.5" customHeight="1">
      <c r="A17" s="410" t="s">
        <v>504</v>
      </c>
      <c r="B17" s="410"/>
      <c r="C17" s="410"/>
      <c r="D17" s="410"/>
      <c r="E17" s="410"/>
      <c r="F17" s="410"/>
      <c r="G17" s="19">
        <v>134</v>
      </c>
      <c r="H17" s="20"/>
      <c r="I17" s="71">
        <v>43837</v>
      </c>
      <c r="J17" s="71">
        <v>1871</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480823</v>
      </c>
      <c r="J19" s="71">
        <v>27595</v>
      </c>
    </row>
    <row r="20" spans="1:10" s="2" customFormat="1" ht="13.5" customHeight="1">
      <c r="A20" s="381" t="s">
        <v>1839</v>
      </c>
      <c r="B20" s="381"/>
      <c r="C20" s="381"/>
      <c r="D20" s="381"/>
      <c r="E20" s="381"/>
      <c r="F20" s="381"/>
      <c r="G20" s="19">
        <v>137</v>
      </c>
      <c r="H20" s="20"/>
      <c r="I20" s="70">
        <f>SUM(I21:I23)</f>
        <v>1382942</v>
      </c>
      <c r="J20" s="70">
        <f>SUM(J21:J23)</f>
        <v>32924</v>
      </c>
    </row>
    <row r="21" spans="1:10" s="2" customFormat="1" ht="13.5" customHeight="1">
      <c r="A21" s="410" t="s">
        <v>724</v>
      </c>
      <c r="B21" s="410"/>
      <c r="C21" s="410"/>
      <c r="D21" s="410"/>
      <c r="E21" s="410"/>
      <c r="F21" s="410"/>
      <c r="G21" s="19">
        <v>138</v>
      </c>
      <c r="H21" s="20"/>
      <c r="I21" s="71">
        <v>840231</v>
      </c>
      <c r="J21" s="71">
        <v>19650</v>
      </c>
    </row>
    <row r="22" spans="1:10" s="2" customFormat="1" ht="13.5" customHeight="1">
      <c r="A22" s="410" t="s">
        <v>961</v>
      </c>
      <c r="B22" s="410"/>
      <c r="C22" s="410"/>
      <c r="D22" s="410"/>
      <c r="E22" s="410"/>
      <c r="F22" s="410"/>
      <c r="G22" s="19">
        <v>139</v>
      </c>
      <c r="H22" s="20"/>
      <c r="I22" s="71">
        <v>350870</v>
      </c>
      <c r="J22" s="71">
        <v>8611</v>
      </c>
    </row>
    <row r="23" spans="1:10" s="2" customFormat="1" ht="13.5" customHeight="1">
      <c r="A23" s="410" t="s">
        <v>962</v>
      </c>
      <c r="B23" s="410"/>
      <c r="C23" s="410"/>
      <c r="D23" s="410"/>
      <c r="E23" s="410"/>
      <c r="F23" s="410"/>
      <c r="G23" s="19">
        <v>140</v>
      </c>
      <c r="H23" s="20"/>
      <c r="I23" s="71">
        <v>191841</v>
      </c>
      <c r="J23" s="71">
        <v>4663</v>
      </c>
    </row>
    <row r="24" spans="1:10" s="2" customFormat="1" ht="13.5" customHeight="1">
      <c r="A24" s="381" t="s">
        <v>259</v>
      </c>
      <c r="B24" s="381"/>
      <c r="C24" s="381"/>
      <c r="D24" s="381"/>
      <c r="E24" s="381"/>
      <c r="F24" s="381"/>
      <c r="G24" s="19">
        <v>141</v>
      </c>
      <c r="H24" s="20"/>
      <c r="I24" s="71">
        <v>27394</v>
      </c>
      <c r="J24" s="71">
        <v>11700</v>
      </c>
    </row>
    <row r="25" spans="1:10" s="2" customFormat="1" ht="13.5" customHeight="1">
      <c r="A25" s="381" t="s">
        <v>260</v>
      </c>
      <c r="B25" s="381"/>
      <c r="C25" s="381"/>
      <c r="D25" s="381"/>
      <c r="E25" s="381"/>
      <c r="F25" s="381"/>
      <c r="G25" s="19">
        <v>142</v>
      </c>
      <c r="H25" s="20"/>
      <c r="I25" s="71">
        <v>178673</v>
      </c>
      <c r="J25" s="71">
        <v>3195</v>
      </c>
    </row>
    <row r="26" spans="1:12" s="2" customFormat="1" ht="13.5" customHeight="1">
      <c r="A26" s="381" t="s">
        <v>1840</v>
      </c>
      <c r="B26" s="381"/>
      <c r="C26" s="381"/>
      <c r="D26" s="381"/>
      <c r="E26" s="381"/>
      <c r="F26" s="381"/>
      <c r="G26" s="19">
        <v>143</v>
      </c>
      <c r="H26" s="20"/>
      <c r="I26" s="70">
        <f>SUM(I27:I28)</f>
        <v>2856</v>
      </c>
      <c r="J26" s="70">
        <f>SUM(J27:J28)</f>
        <v>8813</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2856</v>
      </c>
      <c r="J28" s="71">
        <v>8813</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18220</v>
      </c>
      <c r="J36" s="71">
        <v>504</v>
      </c>
    </row>
    <row r="37" spans="1:10" s="2" customFormat="1" ht="13.5" customHeight="1">
      <c r="A37" s="383" t="s">
        <v>1842</v>
      </c>
      <c r="B37" s="383"/>
      <c r="C37" s="383"/>
      <c r="D37" s="383"/>
      <c r="E37" s="383"/>
      <c r="F37" s="383"/>
      <c r="G37" s="19">
        <v>154</v>
      </c>
      <c r="H37" s="20"/>
      <c r="I37" s="70">
        <f>SUM(I38:I47)</f>
        <v>34038</v>
      </c>
      <c r="J37" s="70">
        <f>SUM(J38:J47)</f>
        <v>1161</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33715</v>
      </c>
      <c r="J44" s="71">
        <v>637</v>
      </c>
    </row>
    <row r="45" spans="1:10" s="2" customFormat="1" ht="13.5" customHeight="1">
      <c r="A45" s="381" t="s">
        <v>1428</v>
      </c>
      <c r="B45" s="381"/>
      <c r="C45" s="381"/>
      <c r="D45" s="381"/>
      <c r="E45" s="381"/>
      <c r="F45" s="381"/>
      <c r="G45" s="19">
        <v>162</v>
      </c>
      <c r="H45" s="20"/>
      <c r="I45" s="71">
        <v>323</v>
      </c>
      <c r="J45" s="71">
        <v>524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14358</v>
      </c>
      <c r="J48" s="70">
        <f>SUM(J49:J55)</f>
        <v>232</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916</v>
      </c>
      <c r="J51" s="71"/>
    </row>
    <row r="52" spans="1:10" s="2" customFormat="1" ht="13.5" customHeight="1">
      <c r="A52" s="404" t="s">
        <v>1439</v>
      </c>
      <c r="B52" s="404"/>
      <c r="C52" s="404"/>
      <c r="D52" s="404"/>
      <c r="E52" s="404"/>
      <c r="F52" s="404"/>
      <c r="G52" s="19">
        <v>169</v>
      </c>
      <c r="H52" s="20"/>
      <c r="I52" s="71">
        <v>13442</v>
      </c>
      <c r="J52" s="71">
        <v>232</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2399414</v>
      </c>
      <c r="J60" s="70">
        <f>J8+J37+J56+J57</f>
        <v>167352</v>
      </c>
    </row>
    <row r="61" spans="1:10" s="2" customFormat="1" ht="13.5" customHeight="1">
      <c r="A61" s="383" t="s">
        <v>1845</v>
      </c>
      <c r="B61" s="383"/>
      <c r="C61" s="383"/>
      <c r="D61" s="383"/>
      <c r="E61" s="383"/>
      <c r="F61" s="383"/>
      <c r="G61" s="19">
        <v>178</v>
      </c>
      <c r="H61" s="20"/>
      <c r="I61" s="70">
        <f>I14+I48+I58+I59</f>
        <v>2149103</v>
      </c>
      <c r="J61" s="70">
        <f>J14+J48+J58+J59</f>
        <v>86834</v>
      </c>
    </row>
    <row r="62" spans="1:12" s="2" customFormat="1" ht="13.5" customHeight="1">
      <c r="A62" s="383" t="s">
        <v>2581</v>
      </c>
      <c r="B62" s="383"/>
      <c r="C62" s="383"/>
      <c r="D62" s="383"/>
      <c r="E62" s="383"/>
      <c r="F62" s="383"/>
      <c r="G62" s="19">
        <v>179</v>
      </c>
      <c r="H62" s="20"/>
      <c r="I62" s="70">
        <f>I60-I61</f>
        <v>250311</v>
      </c>
      <c r="J62" s="70">
        <f>J60-J61</f>
        <v>80518</v>
      </c>
      <c r="L62" s="2" t="s">
        <v>2591</v>
      </c>
    </row>
    <row r="63" spans="1:10" s="2" customFormat="1" ht="13.5" customHeight="1">
      <c r="A63" s="404" t="s">
        <v>2658</v>
      </c>
      <c r="B63" s="404"/>
      <c r="C63" s="404"/>
      <c r="D63" s="404"/>
      <c r="E63" s="404"/>
      <c r="F63" s="404"/>
      <c r="G63" s="19">
        <v>180</v>
      </c>
      <c r="H63" s="20"/>
      <c r="I63" s="70">
        <f>IF(I60&gt;I61,I60-I61,0)</f>
        <v>250311</v>
      </c>
      <c r="J63" s="70">
        <f>IF(J60&gt;J61,J60-J61,0)</f>
        <v>80518</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34288</v>
      </c>
      <c r="J65" s="71">
        <v>10438</v>
      </c>
      <c r="L65" s="2" t="s">
        <v>2591</v>
      </c>
    </row>
    <row r="66" spans="1:12" s="2" customFormat="1" ht="13.5" customHeight="1">
      <c r="A66" s="383" t="s">
        <v>2582</v>
      </c>
      <c r="B66" s="383"/>
      <c r="C66" s="383"/>
      <c r="D66" s="383"/>
      <c r="E66" s="383"/>
      <c r="F66" s="383"/>
      <c r="G66" s="19">
        <v>183</v>
      </c>
      <c r="H66" s="20"/>
      <c r="I66" s="70">
        <f>I62-I65</f>
        <v>216023</v>
      </c>
      <c r="J66" s="70">
        <f>J62-J65</f>
        <v>70080</v>
      </c>
      <c r="L66" s="2" t="s">
        <v>2591</v>
      </c>
    </row>
    <row r="67" spans="1:10" s="2" customFormat="1" ht="13.5" customHeight="1">
      <c r="A67" s="404" t="s">
        <v>779</v>
      </c>
      <c r="B67" s="404"/>
      <c r="C67" s="404"/>
      <c r="D67" s="404"/>
      <c r="E67" s="404"/>
      <c r="F67" s="404"/>
      <c r="G67" s="19">
        <v>184</v>
      </c>
      <c r="H67" s="20"/>
      <c r="I67" s="70">
        <f>IF(I66&gt;0,I66,0)</f>
        <v>216023</v>
      </c>
      <c r="J67" s="70">
        <f>IF(J66&gt;0,J66,0)</f>
        <v>70080</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69" sqref="J6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61539263602; REDEA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504293</v>
      </c>
      <c r="J35" s="78">
        <v>98848</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504293</v>
      </c>
      <c r="J37" s="94">
        <v>98848</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v>103043</v>
      </c>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28750</v>
      </c>
      <c r="J50" s="77">
        <v>1573</v>
      </c>
    </row>
    <row r="51" spans="1:10" s="2" customFormat="1" ht="24.75" customHeight="1">
      <c r="A51" s="404" t="s">
        <v>2219</v>
      </c>
      <c r="B51" s="404"/>
      <c r="C51" s="404"/>
      <c r="D51" s="404"/>
      <c r="E51" s="404"/>
      <c r="F51" s="404"/>
      <c r="G51" s="427"/>
      <c r="H51" s="19">
        <v>253</v>
      </c>
      <c r="I51" s="77">
        <v>424</v>
      </c>
      <c r="J51" s="77">
        <v>58</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v>6001</v>
      </c>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8962</v>
      </c>
      <c r="J60" s="77"/>
    </row>
    <row r="61" spans="1:10" s="2" customFormat="1" ht="13.5" customHeight="1">
      <c r="A61" s="431" t="s">
        <v>2445</v>
      </c>
      <c r="B61" s="431"/>
      <c r="C61" s="431"/>
      <c r="D61" s="431"/>
      <c r="E61" s="431"/>
      <c r="F61" s="431"/>
      <c r="G61" s="432"/>
      <c r="H61" s="19">
        <v>263</v>
      </c>
      <c r="I61" s="77">
        <v>8962</v>
      </c>
      <c r="J61" s="77"/>
    </row>
    <row r="62" spans="1:10" s="2" customFormat="1" ht="13.5" customHeight="1">
      <c r="A62" s="404" t="s">
        <v>2439</v>
      </c>
      <c r="B62" s="404"/>
      <c r="C62" s="404"/>
      <c r="D62" s="404"/>
      <c r="E62" s="404"/>
      <c r="F62" s="404"/>
      <c r="G62" s="427"/>
      <c r="H62" s="19">
        <v>264</v>
      </c>
      <c r="I62" s="77">
        <v>575</v>
      </c>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178673</v>
      </c>
      <c r="J65" s="77">
        <v>3195</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v>44667</v>
      </c>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33714</v>
      </c>
      <c r="J73" s="94">
        <v>637</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916</v>
      </c>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16847</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16847</v>
      </c>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61539263602; REDEA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61539263602; REDEA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61539263602; REDEA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Lenovo</cp:lastModifiedBy>
  <cp:lastPrinted>2020-02-19T14:31:47Z</cp:lastPrinted>
  <dcterms:created xsi:type="dcterms:W3CDTF">2008-10-17T11:51:54Z</dcterms:created>
  <dcterms:modified xsi:type="dcterms:W3CDTF">2020-02-19T14:31:53Z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