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<sst xmlns="http://schemas.openxmlformats.org/spreadsheetml/2006/main" count="3662" uniqueCount="2966">
  <si>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</si>
  <si>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</si>
  <si>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</si>
  <si>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</si>
  <si>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</si>
  <si>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</si>
  <si>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</si>
  <si>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</si>
  <si>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</si>
  <si>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</si>
  <si>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</si>
  <si>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</si>
  <si>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</si>
  <si>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</si>
  <si>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</si>
  <si>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</si>
  <si>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</si>
  <si>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</si>
  <si>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</si>
  <si>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</si>
  <si>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</si>
  <si>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</si>
  <si>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</si>
  <si>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</si>
  <si>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</si>
  <si>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</si>
  <si>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</si>
  <si>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</si>
  <si>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</si>
  <si>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</si>
  <si>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</si>
  <si>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</si>
  <si>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</si>
  <si>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</si>
  <si>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</si>
  <si>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</si>
  <si>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</si>
  <si>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</si>
  <si>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</si>
  <si>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</si>
  <si>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</si>
  <si>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</si>
  <si>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</si>
  <si>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</si>
  <si>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</si>
  <si>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</si>
  <si>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</si>
  <si>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</si>
  <si>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</si>
  <si>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</si>
  <si>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</si>
  <si>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</si>
  <si>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</si>
  <si>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</si>
  <si>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</si>
  <si>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</si>
  <si>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</si>
  <si>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</si>
  <si>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</si>
  <si>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</si>
  <si>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</si>
  <si>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</si>
  <si>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</si>
  <si>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</si>
  <si>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</si>
  <si>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</si>
  <si>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</si>
  <si>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</si>
  <si>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</si>
  <si>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</si>
  <si>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</si>
  <si>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</si>
  <si>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</si>
  <si>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</si>
  <si>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</si>
  <si>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</si>
  <si>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</si>
  <si>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</si>
  <si>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</si>
  <si>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</si>
  <si>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</si>
  <si>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</si>
  <si>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</si>
  <si>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</si>
  <si>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</si>
  <si>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</si>
  <si>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</si>
  <si>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</si>
  <si>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</si>
  <si>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</si>
  <si>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</si>
  <si>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</si>
  <si>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</si>
  <si>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</si>
  <si>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</si>
  <si>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</si>
  <si>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</si>
  <si>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</si>
  <si>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</si>
  <si>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</si>
  <si>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</si>
  <si>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</si>
  <si>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</si>
  <si>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</si>
  <si>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</si>
  <si>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</si>
  <si>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</si>
  <si>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</si>
  <si>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</si>
  <si>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</si>
  <si>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</si>
  <si>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</si>
  <si>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</si>
  <si>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</si>
  <si>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</si>
  <si>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</si>
  <si>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</si>
  <si>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</si>
  <si>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</si>
  <si>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</si>
  <si>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</si>
  <si>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</si>
  <si>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</si>
  <si>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</si>
  <si>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</si>
  <si>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</si>
  <si>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</si>
  <si>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</si>
  <si>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</si>
  <si>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</si>
  <si>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</si>
  <si>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</si>
  <si>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</si>
  <si>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</si>
  <si>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</si>
  <si>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</si>
  <si>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</si>
  <si>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</si>
  <si>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</si>
  <si>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</si>
  <si>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</si>
  <si>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</si>
  <si>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</si>
  <si>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</si>
  <si>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</si>
  <si>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</si>
  <si>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</si>
  <si>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</si>
  <si>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</si>
  <si>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</si>
  <si>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</si>
  <si>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</si>
  <si>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</si>
  <si>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</si>
  <si>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</si>
  <si>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</si>
  <si>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</si>
  <si>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</si>
  <si>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</si>
  <si>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</si>
  <si>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</si>
  <si>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</si>
  <si>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</si>
  <si>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</si>
  <si>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</si>
  <si>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</si>
  <si>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</si>
  <si>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</si>
  <si>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</si>
  <si>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</si>
  <si>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</si>
  <si>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</si>
  <si>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</si>
  <si>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</si>
  <si>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</si>
  <si>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</si>
  <si>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</si>
  <si>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</si>
  <si>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</si>
  <si>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</si>
  <si>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</si>
  <si>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</si>
  <si>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</si>
  <si>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</si>
  <si>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</si>
  <si>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</si>
  <si>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</si>
  <si>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</si>
  <si>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</si>
  <si>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</si>
  <si>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</si>
  <si>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</si>
  <si>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</si>
  <si>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</si>
  <si>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</si>
  <si>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</si>
  <si>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</si>
  <si>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</si>
  <si>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</si>
  <si>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</si>
  <si>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</si>
  <si>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</si>
  <si>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</si>
  <si>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</si>
  <si>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</si>
  <si>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</si>
  <si>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</si>
  <si>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</si>
  <si>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</si>
  <si>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</si>
  <si>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</si>
  <si>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</si>
  <si>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</si>
  <si>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</si>
  <si>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</si>
  <si>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</si>
  <si>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</si>
  <si>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</si>
  <si>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</si>
  <si>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</si>
  <si>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</si>
  <si>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</si>
  <si>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</si>
  <si>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</si>
  <si>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</si>
  <si>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</si>
  <si>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</si>
  <si>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</si>
  <si>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</si>
  <si>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</si>
  <si>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</si>
  <si>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</si>
  <si>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</si>
  <si>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</si>
  <si>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</si>
  <si>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</si>
  <si>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</si>
  <si>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</si>
  <si>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</si>
  <si>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</si>
  <si>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</si>
  <si>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</si>
  <si>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</si>
  <si>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</si>
  <si>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</si>
  <si>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</si>
  <si>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</si>
  <si>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</si>
  <si>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</si>
  <si>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</si>
  <si>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</si>
  <si>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</si>
  <si>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</si>
  <si>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</si>
  <si>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</si>
  <si>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</si>
  <si>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</si>
  <si>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</si>
  <si>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</si>
  <si>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</si>
  <si>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</si>
  <si>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</si>
  <si>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</si>
  <si>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</si>
  <si>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</si>
  <si>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</si>
  <si>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</si>
  <si>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</si>
  <si>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</si>
  <si>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</si>
  <si>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</si>
  <si>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</si>
  <si>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</si>
  <si>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</si>
  <si>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</si>
  <si>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</si>
  <si>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</si>
  <si>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</si>
  <si>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</si>
  <si>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</si>
  <si>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</si>
  <si>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</si>
  <si>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</si>
  <si>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</si>
  <si>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</si>
  <si>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</si>
  <si>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</si>
  <si>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</si>
  <si>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</si>
  <si>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</si>
  <si>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</si>
  <si>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</si>
  <si>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</si>
  <si>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</si>
  <si>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</si>
  <si>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</si>
  <si>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</si>
  <si>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</si>
  <si>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</si>
  <si>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</si>
  <si>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</si>
  <si>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</si>
  <si>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</si>
  <si>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</si>
  <si>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</si>
  <si>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</si>
  <si>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</si>
  <si>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</si>
  <si>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</si>
  <si>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</si>
  <si>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</si>
  <si>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</si>
  <si>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</si>
  <si>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</si>
  <si>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</si>
  <si>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</si>
  <si>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</si>
  <si>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</si>
  <si>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</si>
  <si>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</si>
  <si>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</si>
  <si>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</si>
  <si>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</si>
  <si>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</si>
  <si>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</si>
  <si>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</si>
  <si>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</si>
  <si>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</si>
  <si>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</si>
  <si>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</si>
  <si>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</si>
  <si>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</si>
  <si>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</si>
  <si>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</si>
  <si>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</si>
  <si>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</si>
  <si>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</si>
  <si>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</si>
  <si>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</si>
  <si>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</si>
  <si>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</si>
  <si>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</si>
  <si>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</si>
  <si>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</si>
  <si>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</si>
  <si>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</si>
  <si>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</si>
  <si>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</si>
  <si>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</si>
  <si>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</si>
  <si>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</si>
  <si>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</si>
  <si>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</si>
  <si>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</si>
  <si>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</si>
  <si>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</si>
  <si>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</si>
  <si>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</si>
  <si>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</si>
  <si>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</si>
  <si>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</si>
  <si>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</si>
  <si>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</si>
  <si>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</si>
  <si>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</si>
  <si>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</si>
  <si>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</si>
  <si>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</si>
  <si>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</si>
  <si>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</si>
  <si>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</si>
  <si>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</si>
  <si>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</si>
  <si>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</si>
  <si>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</si>
  <si>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</si>
  <si>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</si>
  <si>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</si>
  <si>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</si>
  <si>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</si>
  <si>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</si>
  <si>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</si>
  <si>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</si>
  <si>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</si>
  <si>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</si>
  <si>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</si>
  <si>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</si>
  <si>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</si>
  <si>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</si>
  <si>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</si>
  <si>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</si>
  <si>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</si>
  <si>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</si>
  <si>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</si>
  <si>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</si>
  <si>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</si>
  <si>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</si>
  <si>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</si>
  <si>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</si>
  <si>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</si>
  <si>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</si>
  <si>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</si>
  <si>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</si>
  <si>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</si>
  <si>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</si>
  <si>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</si>
  <si>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</si>
  <si>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</si>
  <si>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</si>
  <si>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</si>
  <si>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</si>
  <si>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</si>
  <si>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</si>
  <si>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</si>
  <si>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</si>
  <si>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</si>
  <si>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</si>
  <si>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</si>
  <si>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</si>
  <si>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</si>
  <si>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</si>
  <si>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</si>
  <si>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</si>
  <si>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</si>
  <si>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</si>
  <si>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</si>
  <si>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</si>
  <si>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</si>
  <si>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</si>
  <si>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</si>
  <si>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</si>
  <si>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</si>
  <si>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</si>
  <si>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</si>
  <si>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</si>
  <si>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</si>
  <si>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</si>
  <si>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</si>
  <si>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</si>
  <si>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</si>
  <si>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</si>
  <si>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</si>
  <si>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</si>
  <si>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</si>
  <si>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</si>
  <si>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</si>
  <si>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</si>
  <si>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</si>
  <si>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</si>
  <si>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</si>
  <si>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</si>
  <si>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</si>
  <si>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</si>
  <si>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</si>
  <si>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</si>
  <si>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</si>
  <si>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</si>
  <si>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</si>
  <si>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</si>
  <si>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</si>
  <si>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</si>
  <si>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</si>
  <si>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</si>
  <si>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</si>
  <si>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</si>
  <si>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</si>
  <si>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</si>
  <si>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</si>
  <si>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</si>
  <si>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</si>
  <si>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</si>
  <si>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</si>
  <si>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</si>
  <si>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</si>
  <si>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</si>
  <si>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</si>
  <si>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</si>
  <si>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</si>
  <si>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</si>
  <si>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</si>
  <si>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</si>
  <si>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</si>
  <si>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</si>
  <si>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</si>
  <si>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</si>
  <si>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</si>
  <si>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</si>
  <si>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</si>
  <si>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</si>
  <si>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</si>
  <si>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</si>
  <si>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</si>
  <si>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</si>
  <si>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</si>
  <si>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</si>
  <si>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</si>
  <si>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</si>
  <si>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</si>
  <si>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</si>
  <si>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</si>
  <si>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</si>
  <si>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</si>
  <si>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</si>
  <si>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</si>
  <si>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</si>
  <si>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</si>
  <si>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</si>
  <si>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</si>
  <si>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</si>
  <si>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</si>
  <si>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</si>
  <si>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</si>
  <si>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</si>
  <si>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</si>
  <si>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</si>
  <si>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</si>
  <si>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</si>
  <si>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</si>
  <si>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</si>
  <si>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</si>
  <si>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</si>
  <si>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</si>
  <si>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</si>
  <si>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</si>
  <si>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</si>
  <si>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</si>
  <si>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</si>
  <si>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</si>
  <si>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</si>
  <si>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</si>
  <si>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</si>
  <si>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</si>
  <si>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</si>
  <si>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</si>
  <si>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</si>
  <si>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</si>
  <si>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</si>
  <si>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</si>
  <si>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</si>
  <si>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</si>
  <si>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</si>
  <si>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</si>
  <si>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</si>
  <si>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</si>
  <si>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</si>
  <si>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</si>
  <si>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</si>
  <si>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</si>
  <si>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</si>
  <si>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</si>
  <si>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</si>
  <si>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</si>
  <si>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</si>
  <si>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</si>
  <si>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</si>
  <si>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</si>
  <si>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</si>
  <si>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</si>
  <si>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</si>
  <si>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</si>
  <si>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</si>
  <si>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</si>
  <si>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</si>
  <si>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</si>
  <si>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</si>
  <si>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</si>
  <si>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</si>
  <si>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</si>
  <si>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</si>
  <si>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</si>
  <si>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</si>
  <si>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</si>
  <si>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</si>
  <si>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</si>
  <si>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</si>
  <si>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</si>
  <si>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</si>
  <si>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</si>
  <si>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</si>
  <si>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</si>
  <si>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</si>
  <si>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</si>
  <si>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</si>
  <si>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</si>
  <si>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</si>
  <si>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</si>
  <si>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</si>
  <si>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</si>
  <si>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</si>
  <si>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</si>
  <si>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</si>
  <si>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</si>
  <si>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</si>
  <si>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</si>
  <si>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</si>
  <si>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</si>
  <si>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</si>
  <si>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</si>
  <si>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</si>
  <si>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</si>
  <si>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</si>
  <si>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</si>
  <si>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</si>
  <si>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</si>
  <si>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</si>
  <si>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</si>
  <si>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</si>
  <si>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</si>
  <si>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</si>
  <si>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</si>
  <si>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</si>
  <si>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</si>
  <si>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</si>
  <si>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</si>
  <si>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</si>
  <si>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</si>
  <si>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</si>
  <si>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</si>
  <si>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</si>
  <si>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</si>
  <si>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</si>
  <si>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</si>
  <si>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</si>
  <si>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</si>
  <si>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</si>
  <si>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</si>
  <si>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</si>
  <si>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</si>
  <si>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</si>
  <si>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</si>
  <si>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</si>
  <si>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</si>
  <si>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</si>
  <si>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</si>
  <si>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</si>
  <si>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</si>
  <si>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</si>
  <si>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</si>
  <si>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</si>
  <si>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</si>
  <si>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</si>
  <si>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</si>
  <si>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</si>
  <si>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</si>
  <si>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</si>
  <si>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</si>
  <si>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</si>
  <si>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</si>
  <si>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</si>
  <si>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</si>
  <si>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</si>
  <si>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</si>
  <si>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</si>
  <si>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</si>
  <si>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</si>
  <si>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</si>
  <si>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</si>
  <si>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</si>
  <si>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</si>
  <si>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</si>
  <si>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</si>
  <si>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</si>
  <si>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</si>
  <si>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</si>
  <si>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</si>
  <si>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</si>
  <si>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</si>
  <si>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</si>
  <si>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</si>
  <si>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</si>
  <si>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</si>
  <si>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</si>
  <si>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</si>
  <si>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</si>
  <si>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</si>
  <si>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</si>
  <si>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</si>
  <si>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</si>
  <si>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</si>
  <si>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</si>
  <si>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</si>
  <si>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</si>
  <si>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</si>
  <si>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</si>
  <si>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</si>
  <si>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</si>
  <si>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</si>
  <si>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</si>
  <si>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</si>
  <si>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</si>
  <si>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</si>
  <si>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</si>
  <si>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</si>
  <si>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</si>
  <si>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</si>
  <si>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</si>
  <si>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</si>
  <si>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</si>
  <si>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</si>
  <si>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</si>
  <si>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</si>
  <si>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</si>
  <si>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</si>
  <si>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</si>
  <si>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</si>
  <si>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</si>
  <si>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</si>
  <si>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</si>
  <si>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</si>
  <si>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</si>
  <si>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</si>
  <si>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</si>
  <si>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</si>
  <si>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</si>
  <si>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</si>
  <si>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</si>
  <si>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</si>
  <si>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</si>
  <si>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</si>
  <si>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</si>
  <si>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</si>
  <si>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</si>
  <si>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</si>
  <si>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</si>
  <si>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</si>
  <si>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</si>
  <si>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</si>
  <si>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</si>
  <si>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</si>
  <si>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</si>
  <si>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</si>
  <si>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</si>
  <si>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</si>
  <si>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</si>
  <si>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</si>
  <si>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</si>
  <si>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</si>
  <si>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</si>
  <si>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</si>
  <si>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</si>
  <si>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</si>
  <si>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</si>
  <si>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</si>
  <si>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</si>
  <si>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</si>
  <si>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</si>
  <si>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</si>
  <si>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</si>
  <si>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</si>
  <si>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</si>
  <si>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</si>
  <si>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</si>
  <si>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</si>
  <si>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</si>
  <si>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</si>
  <si>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</si>
  <si>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</si>
  <si>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</si>
  <si>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</si>
  <si>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</si>
  <si>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</si>
  <si>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</si>
  <si>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</si>
  <si>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</si>
  <si>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</si>
  <si>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</si>
  <si>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</si>
  <si>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</si>
  <si>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</si>
  <si>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</si>
  <si>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</si>
  <si>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</si>
  <si>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</si>
  <si>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</si>
  <si>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</si>
  <si>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</si>
  <si>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</si>
  <si>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</si>
  <si>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</si>
  <si>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</si>
  <si>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</si>
  <si>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</si>
  <si>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</si>
  <si>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</si>
  <si>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</si>
  <si>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</si>
  <si>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</si>
  <si>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</si>
  <si>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</si>
  <si>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</si>
  <si>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</si>
  <si>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</si>
  <si>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</si>
  <si>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</si>
  <si>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</si>
  <si>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</si>
  <si>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</si>
  <si>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</si>
  <si>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</si>
  <si>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</si>
  <si>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</si>
  <si>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</si>
  <si>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</si>
  <si>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</si>
  <si>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</si>
  <si>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</si>
  <si>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</si>
  <si>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</si>
  <si>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</si>
  <si>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</si>
  <si>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</si>
  <si>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</si>
  <si>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</si>
  <si>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</si>
  <si>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</si>
  <si>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</si>
  <si>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</si>
  <si>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</si>
  <si>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</si>
  <si>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</si>
  <si>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</si>
  <si>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</si>
  <si>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</si>
  <si>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</si>
  <si>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</si>
  <si>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</si>
  <si>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</si>
  <si>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</si>
  <si>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</si>
  <si>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</si>
  <si>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</si>
  <si>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</si>
  <si>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</si>
  <si>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</si>
  <si>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</si>
  <si>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</si>
  <si>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</si>
  <si>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</si>
  <si>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</si>
  <si>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</si>
  <si>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</si>
  <si>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</si>
  <si>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</si>
  <si>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</si>
  <si>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</si>
  <si>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</si>
  <si>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</si>
  <si>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</si>
  <si>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</si>
  <si>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</si>
  <si>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</si>
  <si>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</si>
  <si>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</si>
  <si>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</si>
  <si>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</si>
  <si>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</si>
  <si>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</si>
  <si>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</si>
  <si>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</si>
  <si>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</si>
  <si>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</si>
  <si>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</si>
  <si>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</si>
  <si>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</si>
  <si>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</si>
  <si>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</si>
  <si>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</si>
  <si>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</si>
  <si>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</si>
  <si>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</si>
  <si>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</si>
  <si>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</si>
  <si>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</si>
  <si>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</si>
  <si>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</si>
  <si>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</si>
  <si>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</si>
  <si>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</si>
  <si>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</si>
  <si>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</si>
  <si>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</si>
  <si>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</si>
  <si>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</si>
  <si>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</si>
  <si>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</si>
  <si>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</si>
  <si>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</si>
  <si>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</si>
  <si>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</si>
  <si>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</si>
  <si>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</si>
  <si>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</si>
  <si>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</si>
  <si>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</si>
  <si>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</si>
  <si>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</si>
  <si>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</si>
  <si>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</si>
  <si>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</si>
  <si>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</si>
  <si>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</si>
  <si>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</si>
  <si>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</si>
  <si>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</si>
  <si>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</si>
  <si>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</si>
  <si>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</si>
  <si>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</si>
  <si>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</si>
  <si>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</si>
  <si>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</si>
  <si>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</si>
  <si>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</si>
  <si>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</si>
  <si>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</si>
  <si>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</si>
  <si>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</si>
  <si>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</si>
  <si>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</si>
  <si>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</si>
  <si>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</si>
  <si>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</si>
  <si>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</si>
  <si>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</si>
  <si>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</si>
  <si>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</si>
  <si>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</si>
  <si>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</si>
  <si>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</si>
  <si>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</si>
  <si>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</si>
  <si>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</si>
  <si>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</si>
  <si>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</si>
  <si>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</si>
  <si>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</si>
  <si>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</si>
  <si>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</si>
  <si>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</si>
  <si>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</si>
  <si>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</si>
  <si>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</si>
  <si>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</si>
  <si>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</si>
  <si>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</si>
  <si>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</si>
  <si>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</si>
  <si>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</si>
  <si>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</si>
  <si>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</si>
  <si>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</si>
  <si>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</si>
  <si>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</si>
  <si>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</si>
  <si>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</si>
  <si>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</si>
  <si>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</si>
  <si>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</si>
  <si>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</si>
  <si>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</si>
  <si>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</si>
  <si>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</si>
  <si>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</si>
  <si>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</si>
  <si>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</si>
  <si>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</si>
  <si>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</si>
  <si>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</si>
  <si>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</si>
  <si>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</si>
  <si>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</si>
  <si>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</si>
  <si>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</si>
  <si>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</si>
  <si>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</si>
  <si>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</si>
  <si>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</si>
  <si>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</si>
  <si>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</si>
  <si>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</si>
  <si>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</si>
  <si>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</si>
  <si>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</si>
  <si>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</si>
  <si>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</si>
  <si>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</si>
  <si>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</si>
  <si>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</si>
  <si>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</si>
  <si>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</si>
  <si>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</si>
  <si>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</si>
  <si>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</si>
  <si>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</si>
  <si>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</si>
  <si>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</si>
  <si>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</si>
  <si>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</si>
  <si>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</si>
  <si>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</si>
  <si>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</si>
  <si>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</si>
  <si>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</si>
  <si>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</si>
  <si>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</si>
  <si>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</si>
  <si>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</si>
  <si>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</si>
  <si>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</si>
  <si>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</si>
  <si>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</si>
  <si>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</si>
  <si>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</si>
  <si>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</si>
  <si>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</si>
  <si>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</si>
  <si>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</si>
  <si>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</si>
  <si>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</si>
  <si>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</si>
  <si>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</si>
  <si>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</si>
  <si>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</si>
  <si>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</si>
  <si>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</si>
  <si>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</si>
  <si>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</si>
  <si>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</si>
  <si>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</si>
  <si>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</si>
  <si>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</si>
  <si>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</si>
  <si>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</si>
  <si>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</si>
  <si>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</si>
  <si>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</si>
  <si>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</si>
  <si>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</si>
  <si>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</si>
  <si>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</si>
  <si>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</si>
  <si>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</si>
  <si>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</si>
  <si>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</si>
  <si>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</si>
  <si>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</si>
  <si>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</si>
  <si>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</si>
  <si>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</si>
  <si>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</si>
  <si>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</si>
  <si>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</si>
  <si>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</si>
  <si>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</si>
  <si>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</si>
  <si>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</si>
  <si>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</si>
  <si>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</si>
  <si>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</si>
  <si>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</si>
  <si>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</si>
  <si>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</si>
  <si>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</si>
  <si>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</si>
  <si>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</si>
  <si>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</si>
  <si>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</si>
  <si>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</si>
  <si>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</si>
  <si>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</si>
  <si>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</si>
  <si>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</si>
  <si>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</si>
  <si>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</si>
  <si>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</si>
  <si>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</si>
  <si>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</si>
  <si>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</si>
  <si>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</si>
  <si>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</si>
  <si>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</si>
  <si>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</si>
  <si>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</si>
  <si>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</si>
  <si>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</si>
  <si>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</si>
  <si>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</si>
  <si>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</si>
  <si>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</si>
  <si>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</si>
  <si>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</si>
  <si>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</si>
  <si>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</si>
  <si>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</si>
  <si>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</si>
  <si>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</si>
  <si>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</si>
  <si>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</si>
  <si>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</si>
  <si>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</si>
  <si>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</si>
  <si>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</si>
  <si>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</si>
  <si>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</si>
  <si>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</si>
  <si>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</si>
  <si>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</si>
  <si>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</si>
  <si>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</si>
  <si>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</si>
  <si>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</si>
  <si>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</si>
  <si>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</si>
  <si>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</si>
  <si>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</si>
  <si>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</si>
  <si>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</si>
  <si>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</si>
  <si>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</si>
  <si>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</si>
  <si>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</si>
  <si>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</si>
  <si>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</si>
  <si>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</si>
  <si>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</si>
  <si>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</si>
  <si>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</si>
  <si>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</si>
  <si>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</si>
  <si>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</si>
  <si>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</si>
  <si>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</si>
  <si>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</si>
  <si>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</si>
  <si>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</si>
  <si>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</si>
  <si>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</si>
  <si>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</si>
  <si>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</si>
  <si>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</si>
  <si>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</si>
  <si>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</si>
  <si>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</si>
  <si>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</si>
  <si>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</si>
  <si>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</si>
  <si>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</si>
  <si>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</si>
  <si>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</si>
  <si>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</si>
  <si>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</si>
  <si>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</si>
  <si>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</si>
  <si>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</si>
  <si>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</si>
  <si>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</si>
  <si>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</si>
  <si>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</si>
  <si>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</si>
  <si>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</si>
  <si>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</si>
  <si>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</si>
  <si>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</si>
  <si>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</si>
  <si>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</si>
  <si>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</si>
  <si>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</si>
  <si>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</si>
  <si>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</si>
  <si>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</si>
  <si>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</si>
  <si>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</si>
  <si>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</si>
  <si>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</si>
  <si>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</si>
  <si>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</si>
  <si>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</si>
  <si>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</si>
  <si>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</si>
  <si>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</si>
  <si>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</si>
  <si>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</si>
  <si>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</si>
  <si>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</si>
  <si>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</si>
  <si>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</si>
  <si>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</si>
  <si>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</si>
  <si>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</si>
  <si>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</si>
  <si>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</si>
  <si>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</si>
  <si>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</si>
  <si>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</si>
  <si>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</si>
  <si>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</si>
  <si>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</si>
  <si>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</si>
  <si>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</si>
  <si>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</si>
  <si>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</si>
  <si>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</si>
  <si>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</si>
  <si>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</si>
  <si>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</si>
  <si>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</si>
  <si>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</si>
  <si>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</si>
  <si>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</si>
  <si>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</si>
  <si>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</si>
  <si>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</si>
  <si>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</si>
  <si>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</si>
  <si>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</si>
  <si>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</si>
  <si>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</si>
  <si>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</si>
  <si>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</si>
  <si>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</si>
  <si>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</si>
  <si>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</si>
  <si>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</si>
  <si>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</si>
  <si>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</si>
  <si>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</si>
  <si>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</si>
  <si>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</si>
  <si>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</si>
  <si>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</si>
  <si>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</si>
  <si>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</si>
  <si>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</si>
  <si>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</si>
  <si>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</si>
  <si>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</si>
  <si>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</si>
  <si>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</si>
  <si>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</si>
  <si>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</si>
  <si>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</si>
  <si>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</si>
  <si>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</si>
  <si>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</si>
  <si>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</si>
  <si>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</si>
  <si>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</si>
  <si>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</si>
  <si>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</si>
  <si>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</si>
  <si>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</si>
  <si>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</si>
  <si>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</si>
  <si>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</si>
  <si>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</si>
  <si>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</si>
  <si>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</si>
  <si>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</si>
  <si>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</si>
  <si>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</si>
  <si>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</si>
  <si>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</si>
  <si>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</si>
  <si>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</si>
  <si>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</si>
  <si>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</si>
  <si>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</si>
  <si>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</si>
  <si>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</si>
  <si>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</si>
  <si>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</si>
  <si>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</si>
  <si>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</si>
  <si>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</si>
  <si>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</si>
  <si>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</si>
  <si>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</si>
  <si>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</si>
  <si>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</si>
  <si>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</si>
  <si>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</si>
  <si>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</si>
  <si>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</si>
  <si>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</si>
  <si>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</si>
  <si>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</si>
  <si>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</si>
  <si>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</si>
  <si>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</si>
  <si>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</si>
  <si>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</si>
  <si>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</si>
  <si>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</si>
  <si>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</si>
  <si>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</si>
  <si>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</si>
  <si>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</si>
  <si>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</si>
  <si>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</si>
  <si>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</si>
  <si>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</si>
  <si>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</si>
  <si>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</si>
  <si>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</si>
  <si>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</si>
  <si>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</si>
  <si>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</si>
  <si>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</si>
  <si>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</si>
  <si>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</si>
  <si>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</si>
  <si>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</si>
  <si>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</si>
  <si>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</si>
  <si>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</si>
  <si>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</si>
  <si>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</si>
  <si>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</si>
  <si>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</si>
  <si>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</si>
  <si>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</si>
  <si>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</si>
  <si>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</si>
  <si>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</si>
  <si>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</si>
  <si>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</si>
  <si>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</si>
  <si>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</si>
  <si>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</si>
  <si>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</si>
  <si>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</si>
  <si>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</si>
  <si>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</si>
  <si>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</si>
  <si>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</si>
  <si>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</si>
  <si>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</si>
  <si>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</si>
  <si>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</si>
  <si>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</si>
  <si>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</si>
  <si>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</si>
  <si>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</si>
  <si>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</si>
  <si>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</si>
  <si>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</si>
  <si>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</si>
  <si>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</si>
  <si>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</si>
  <si>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</si>
  <si>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</si>
  <si>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</si>
  <si>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</si>
  <si>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</si>
  <si>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</si>
  <si>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</si>
  <si>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</si>
  <si>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</si>
  <si>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</si>
  <si>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</si>
  <si>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</si>
  <si>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</si>
  <si>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</si>
  <si>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</si>
  <si>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</si>
  <si>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</si>
  <si>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</si>
  <si>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</si>
  <si>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</si>
  <si>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</si>
  <si>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</si>
  <si>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</si>
  <si>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</si>
  <si>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</si>
  <si>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</si>
  <si>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</si>
  <si>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</si>
  <si>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</si>
  <si>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</si>
  <si>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</si>
  <si>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</si>
  <si>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</si>
  <si>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</si>
  <si>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</si>
  <si>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</si>
  <si>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</si>
  <si>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</si>
  <si>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</si>
  <si>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</si>
  <si>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</si>
  <si>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</si>
  <si>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</si>
  <si>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</si>
  <si>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</si>
  <si>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</si>
  <si>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</si>
  <si>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</si>
  <si>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</si>
  <si>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</si>
  <si>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</si>
  <si>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</si>
  <si>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</si>
  <si>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</si>
  <si>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</si>
  <si>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</si>
  <si>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</si>
  <si>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</si>
  <si>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</si>
  <si>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</si>
  <si>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</si>
  <si>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</si>
  <si>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</si>
  <si>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</si>
  <si>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</si>
  <si>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</si>
  <si>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</si>
  <si>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</si>
  <si>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</si>
  <si>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</si>
  <si>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</si>
  <si>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</si>
  <si>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</si>
  <si>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</si>
  <si>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</si>
  <si>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</si>
  <si>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</si>
  <si>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</si>
  <si>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</si>
  <si>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</si>
  <si>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</si>
  <si>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</si>
  <si>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</si>
  <si>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</si>
  <si>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</si>
  <si>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</si>
  <si>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</si>
  <si>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</si>
  <si>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</si>
  <si>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</si>
  <si>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</si>
  <si>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</si>
  <si>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</si>
  <si>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</si>
  <si>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</si>
  <si>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</si>
  <si>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</si>
  <si>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</si>
  <si>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</si>
  <si>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</si>
  <si>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</si>
  <si>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</si>
  <si>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</si>
  <si>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</si>
  <si>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</si>
  <si>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</si>
  <si>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</si>
  <si>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</si>
  <si>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</si>
  <si>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</si>
  <si>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</si>
  <si>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</si>
  <si>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</si>
  <si>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</si>
  <si>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</si>
  <si>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</si>
  <si>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</si>
  <si>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</si>
  <si>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</si>
  <si>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</si>
  <si>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</si>
  <si>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</si>
  <si>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</si>
  <si>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</si>
  <si>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</si>
  <si>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</si>
  <si>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</si>
  <si>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</si>
  <si>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</si>
  <si>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</si>
  <si>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</si>
  <si>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</si>
  <si>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</si>
  <si>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</si>
  <si>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</si>
  <si>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</si>
  <si>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</si>
  <si>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</si>
  <si>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</si>
  <si>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</si>
  <si>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</si>
  <si>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</si>
  <si>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</si>
  <si>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</si>
  <si>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</si>
  <si>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</si>
  <si>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</si>
  <si>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</si>
  <si>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</si>
  <si>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</si>
  <si>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</si>
  <si>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</si>
  <si>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</si>
  <si>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</si>
  <si>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</si>
  <si>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</si>
  <si>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</si>
  <si>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</si>
  <si>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</si>
  <si>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</si>
  <si>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</si>
  <si>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</si>
  <si>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</si>
  <si>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</si>
  <si>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</si>
  <si>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</si>
  <si>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</si>
  <si>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</si>
  <si>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</si>
  <si>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</si>
  <si>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</si>
  <si>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</si>
  <si>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</si>
  <si>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</si>
  <si>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</si>
  <si>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</si>
  <si>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</si>
  <si>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</si>
  <si>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</si>
  <si>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</si>
  <si>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</si>
  <si>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</si>
  <si>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</si>
  <si>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</si>
  <si>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</si>
  <si>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</si>
  <si>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</si>
  <si>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</si>
  <si>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</si>
  <si>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</si>
  <si>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</si>
  <si>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</si>
  <si>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</si>
  <si>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</si>
  <si>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</si>
  <si>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</si>
  <si>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</si>
  <si>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</si>
  <si>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</si>
  <si>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</si>
  <si>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</si>
  <si>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</si>
  <si>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</si>
  <si>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</si>
  <si>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</si>
  <si>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</si>
  <si>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</si>
  <si>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</si>
  <si>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</si>
  <si>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</si>
  <si>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</si>
  <si>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</si>
  <si>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</si>
  <si>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</si>
  <si>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</si>
  <si>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</si>
  <si>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</si>
  <si>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</si>
  <si>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</si>
  <si>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</si>
  <si>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</si>
  <si>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</si>
  <si>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</si>
  <si>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</si>
  <si>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</si>
  <si>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</si>
  <si>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</si>
  <si>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</si>
  <si>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</si>
  <si>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</si>
  <si>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</si>
  <si>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</si>
  <si>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</si>
  <si>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</si>
  <si>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</si>
  <si>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</si>
  <si>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</si>
  <si>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</si>
  <si>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</si>
  <si>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</si>
  <si>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</si>
  <si>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</si>
  <si>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</si>
  <si>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</si>
  <si>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</si>
  <si>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</si>
  <si>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</si>
  <si>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</si>
  <si>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</si>
  <si>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</si>
  <si>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</si>
  <si>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</si>
  <si>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</si>
  <si>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</si>
  <si>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</si>
  <si>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</si>
  <si>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</si>
  <si>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</si>
  <si>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</si>
  <si>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</si>
  <si>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</si>
  <si>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</si>
  <si>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</si>
  <si>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</si>
  <si>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</si>
  <si>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</si>
  <si>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</si>
  <si>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</si>
  <si>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</si>
  <si>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</si>
  <si>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</si>
  <si>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</si>
  <si>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</si>
  <si>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</si>
  <si>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</si>
  <si>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</si>
  <si>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</si>
  <si>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</si>
  <si>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</si>
  <si>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</si>
  <si>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</si>
  <si>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</si>
  <si>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</si>
  <si>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</si>
  <si>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</si>
  <si>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</si>
  <si>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</si>
  <si>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</si>
  <si>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</si>
  <si>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</si>
  <si>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</si>
  <si>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</si>
  <si>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</si>
  <si>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</si>
  <si>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</si>
  <si>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</si>
  <si>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</si>
  <si>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</si>
  <si>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</si>
  <si>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</si>
  <si>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</si>
  <si>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</si>
  <si>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</si>
  <si>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</si>
  <si>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</si>
  <si>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</si>
  <si>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</si>
  <si>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</si>
  <si>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</si>
  <si>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</si>
  <si>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</si>
  <si>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</si>
  <si>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</si>
  <si>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</si>
  <si>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</si>
  <si>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</si>
  <si>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</si>
  <si>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</si>
  <si>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</si>
  <si>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</si>
  <si>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</si>
  <si>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</si>
  <si>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</si>
  <si>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</si>
  <si>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</si>
  <si>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</si>
  <si>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</si>
  <si>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</si>
  <si>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</si>
  <si>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</si>
  <si>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</si>
  <si>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</si>
  <si>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</si>
  <si>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</si>
  <si>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</si>
  <si>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</si>
  <si>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</si>
  <si>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</si>
  <si>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</si>
  <si>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</si>
  <si>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</si>
  <si>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</si>
  <si>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</si>
  <si>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</si>
  <si>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</si>
  <si>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</si>
  <si>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</si>
  <si>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</si>
  <si>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</si>
  <si>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</si>
  <si>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</si>
  <si>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</si>
  <si>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</si>
  <si>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</si>
  <si>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</si>
  <si>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</si>
  <si>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</si>
  <si>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</si>
  <si>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</si>
  <si>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</si>
  <si>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</si>
  <si>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</si>
  <si>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</si>
  <si>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</si>
  <si>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</si>
  <si>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</si>
  <si>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</si>
  <si>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</si>
  <si>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</si>
  <si>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</si>
  <si>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</si>
  <si>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</si>
  <si>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</si>
  <si>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</si>
  <si>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</si>
  <si>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</si>
  <si>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</si>
  <si>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</si>
  <si>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</si>
  <si>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</si>
  <si>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</si>
  <si>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</si>
  <si>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</si>
  <si>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</si>
  <si>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</si>
  <si>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</si>
  <si>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</si>
  <si>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</si>
  <si>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</si>
  <si>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</si>
  <si>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</si>
  <si>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</si>
  <si>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</si>
  <si>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</si>
  <si>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</si>
  <si>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</si>
  <si>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</si>
  <si>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</si>
  <si>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</si>
  <si>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</si>
  <si>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</si>
  <si>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</si>
  <si>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</si>
  <si>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</si>
  <si>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</si>
  <si>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</si>
  <si>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</si>
  <si>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</si>
  <si>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</si>
  <si>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</si>
  <si>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</si>
  <si>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</si>
  <si>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</si>
  <si>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</si>
  <si>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</si>
  <si>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</si>
  <si>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</si>
  <si>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</si>
  <si>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</si>
  <si>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</si>
  <si>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</si>
  <si>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</si>
  <si>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</si>
  <si>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</si>
  <si>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</si>
  <si>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</si>
  <si>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</si>
  <si>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</si>
  <si>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</si>
  <si>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</si>
  <si>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</si>
  <si>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</si>
  <si>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</si>
  <si>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</si>
  <si>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</si>
  <si>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</si>
  <si>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</si>
  <si>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</si>
  <si>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</si>
  <si>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</si>
  <si>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</si>
  <si>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</si>
  <si>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</si>
  <si>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</si>
  <si>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</si>
  <si>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</si>
  <si>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</si>
  <si>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</si>
  <si>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</si>
  <si>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</si>
  <si>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</si>
  <si>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</si>
  <si>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</si>
  <si>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</si>
  <si>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</si>
  <si>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</si>
  <si>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</si>
  <si>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</si>
  <si>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</si>
  <si>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</si>
  <si>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</si>
  <si>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</si>
  <si>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</si>
  <si>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</si>
  <si>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</si>
  <si>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</si>
  <si>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</si>
  <si>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</si>
  <si>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</si>
  <si>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</si>
  <si>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</si>
  <si>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</si>
  <si>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</si>
  <si>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</si>
  <si>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</si>
  <si>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</si>
  <si>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</si>
  <si>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</si>
  <si>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</si>
  <si>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</si>
  <si>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</si>
  <si>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</si>
  <si>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</si>
  <si>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</si>
  <si>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</si>
  <si>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</si>
  <si>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</si>
  <si>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</si>
  <si>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</si>
  <si>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</si>
  <si>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</si>
  <si>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</si>
  <si>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</si>
  <si>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</si>
  <si>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</si>
  <si>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</si>
  <si>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</si>
  <si>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</si>
  <si>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</si>
  <si>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</si>
  <si>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</si>
  <si>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</si>
  <si>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</si>
  <si>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</si>
  <si>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</si>
  <si>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</si>
  <si>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</si>
  <si>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</si>
  <si>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</si>
  <si>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</si>
  <si>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</si>
  <si>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</si>
  <si>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</si>
  <si>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</si>
  <si>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</si>
  <si>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</si>
  <si>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</si>
  <si>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</si>
  <si>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</si>
  <si>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</si>
  <si>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</si>
  <si>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</si>
  <si>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</si>
  <si>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</si>
  <si>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</si>
  <si>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</si>
  <si>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</si>
  <si>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</si>
  <si>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</si>
  <si>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</si>
  <si>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</si>
  <si>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</si>
  <si>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</si>
  <si>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</si>
  <si>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</si>
  <si>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</si>
  <si>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</si>
  <si>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</si>
  <si>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</si>
  <si>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</si>
  <si>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</si>
  <si>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</si>
  <si>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</si>
  <si>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</si>
  <si>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</si>
  <si>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</si>
  <si>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</si>
  <si>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</si>
  <si>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</si>
  <si>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</si>
  <si>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</si>
  <si>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</si>
  <si>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</si>
  <si>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</si>
  <si>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</si>
  <si>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</si>
  <si>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</si>
  <si>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</si>
  <si>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</si>
  <si>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</si>
  <si>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</si>
  <si>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</si>
  <si>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</si>
  <si>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</si>
  <si>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</si>
  <si>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</si>
  <si>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</si>
  <si>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</si>
  <si>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</si>
  <si>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</si>
  <si>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</si>
  <si>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</si>
  <si>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</si>
  <si>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</si>
  <si>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</si>
  <si>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</si>
  <si>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</si>
  <si>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</si>
  <si>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</si>
  <si>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</si>
  <si>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</si>
  <si>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</si>
  <si>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</si>
  <si>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</si>
  <si>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</si>
  <si>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</si>
  <si>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</si>
  <si>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</si>
  <si>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</si>
  <si>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</si>
  <si>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</si>
  <si>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</si>
  <si>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</si>
  <si>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</si>
  <si>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</si>
  <si>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</si>
  <si>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</si>
  <si>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</si>
  <si>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</si>
  <si>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</si>
  <si>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</si>
  <si>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</si>
  <si>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</si>
  <si>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</si>
  <si>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</si>
  <si>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</si>
  <si>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</si>
  <si>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</si>
  <si>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</si>
  <si>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</si>
  <si>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</si>
  <si>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</si>
  <si>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</si>
  <si>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</si>
  <si>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</si>
  <si>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</si>
  <si>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</si>
  <si>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</si>
  <si>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</si>
  <si>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</si>
  <si>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</si>
  <si>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</si>
  <si>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</si>
  <si>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</si>
  <si>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</si>
  <si>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</si>
  <si>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</si>
  <si>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</si>
  <si>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</si>
  <si>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</si>
  <si>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</si>
  <si>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</si>
  <si>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</si>
  <si>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</si>
  <si>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</si>
  <si>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</si>
  <si>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</si>
  <si>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</si>
  <si>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</si>
  <si>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</si>
  <si>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</si>
  <si>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</si>
  <si>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</si>
  <si>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</si>
  <si>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</si>
  <si>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</si>
  <si>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</si>
  <si>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</si>
  <si>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</si>
  <si>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</si>
  <si>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</si>
  <si>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</si>
  <si>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</si>
  <si>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</si>
  <si>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</si>
  <si>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</si>
  <si>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</si>
  <si>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</si>
  <si>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</si>
  <si>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</si>
  <si>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</si>
  <si>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</si>
  <si>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</si>
  <si>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</si>
  <si>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</si>
  <si>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</si>
  <si>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</si>
  <si>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</si>
  <si>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</si>
  <si>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</si>
  <si>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</si>
  <si>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</si>
  <si>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</si>
  <si>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</si>
  <si>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</si>
  <si>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</si>
  <si>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</si>
  <si>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</si>
  <si>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</si>
  <si>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</si>
  <si>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</si>
  <si>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</si>
  <si>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</si>
  <si>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</si>
  <si>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</si>
  <si>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</si>
  <si>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</si>
  <si>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</si>
  <si>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</si>
  <si>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</si>
  <si>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</si>
  <si>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</si>
  <si>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</si>
  <si>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</si>
  <si>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</si>
  <si>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</si>
  <si>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</si>
  <si>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</si>
  <si>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</si>
  <si>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</si>
  <si>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</si>
  <si>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</si>
  <si>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</si>
  <si>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</si>
  <si>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</si>
  <si>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</si>
  <si>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</si>
  <si>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</si>
  <si>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</si>
  <si>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</si>
  <si>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</si>
  <si>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</si>
  <si>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</si>
  <si>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</si>
  <si>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</si>
  <si>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</si>
  <si>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</si>
  <si>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</si>
  <si>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</si>
  <si>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</si>
  <si>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</si>
  <si>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</si>
  <si>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</si>
  <si>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</si>
  <si>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</si>
  <si>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</si>
  <si>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</si>
  <si>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</si>
  <si>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</si>
  <si>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</si>
  <si>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</si>
  <si>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</si>
  <si>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</si>
  <si>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</si>
  <si>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</si>
  <si>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</si>
  <si>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</si>
  <si>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</si>
  <si>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</si>
  <si>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</si>
  <si>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</si>
  <si>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</si>
  <si>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</si>
  <si>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</si>
  <si>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</si>
  <si>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</si>
  <si>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</si>
  <si>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</si>
  <si>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</si>
  <si>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</si>
  <si>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</si>
  <si>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</si>
  <si>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</si>
  <si>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</si>
  <si>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</si>
  <si>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</si>
  <si>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</si>
  <si>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</si>
  <si>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</si>
  <si>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</si>
  <si>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</si>
  <si>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</si>
  <si>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</si>
  <si>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</si>
  <si>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</si>
  <si>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</si>
  <si>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</si>
  <si>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</si>
  <si>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</si>
  <si>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</si>
  <si>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</si>
  <si>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</si>
  <si>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</si>
  <si>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</si>
  <si>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</si>
  <si>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</si>
  <si>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</si>
  <si>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</si>
  <si>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</si>
  <si>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</si>
  <si>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</si>
  <si>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</si>
  <si>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</si>
  <si>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</si>
  <si>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</si>
  <si>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</si>
  <si>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</si>
  <si>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</si>
  <si>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</si>
  <si>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</si>
  <si>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</si>
  <si>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</si>
  <si>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</si>
  <si>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</si>
  <si>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</si>
  <si>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</si>
  <si>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</si>
  <si>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</si>
  <si>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</si>
  <si>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</si>
  <si>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</si>
  <si>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</si>
  <si>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</si>
  <si>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</si>
  <si>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</si>
  <si>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</si>
  <si>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</si>
  <si>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</si>
  <si>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</si>
  <si>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</si>
  <si>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</si>
  <si>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</si>
  <si>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</si>
  <si>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</si>
  <si>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</si>
  <si>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</si>
  <si>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</si>
  <si>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</si>
  <si>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</si>
  <si>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</si>
  <si>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</si>
  <si>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</si>
  <si>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</si>
  <si>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</si>
  <si>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</si>
  <si>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</si>
  <si>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</si>
  <si>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</si>
  <si>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</si>
  <si>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</si>
  <si>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</si>
  <si>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</si>
  <si>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</si>
  <si>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</si>
  <si>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</si>
  <si>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</si>
  <si>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</si>
  <si>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</si>
  <si>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</si>
  <si>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</si>
  <si>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</si>
  <si>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</si>
  <si>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</si>
  <si>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</si>
  <si>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</si>
  <si>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</si>
  <si>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</si>
  <si>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</si>
  <si>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</si>
  <si>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</si>
  <si>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</si>
  <si>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</si>
  <si>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</si>
  <si>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</si>
  <si>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</si>
  <si>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</si>
  <si>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</si>
  <si>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</si>
  <si>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</si>
  <si>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</si>
  <si>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</si>
  <si>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</si>
  <si>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</si>
  <si>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</si>
  <si>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</si>
  <si>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</si>
  <si>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</si>
  <si>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</si>
  <si>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</si>
  <si>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</si>
  <si>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</si>
  <si>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</si>
  <si>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</si>
  <si>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</si>
  <si>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</si>
  <si>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</si>
  <si>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</si>
  <si>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</si>
  <si>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</si>
  <si>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</si>
  <si>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</si>
  <si>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</si>
  <si>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</si>
  <si>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</si>
  <si>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</si>
  <si>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</si>
  <si>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</si>
  <si>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</si>
  <si>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</si>
  <si>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</si>
  <si>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</si>
  <si>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</si>
  <si>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</si>
  <si>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</si>
  <si>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</si>
  <si>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</si>
  <si>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</si>
  <si>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</si>
  <si>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</si>
  <si>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</si>
  <si>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</si>
  <si>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</si>
  <si>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</si>
  <si>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</si>
  <si>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</si>
  <si>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</si>
  <si>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</si>
  <si>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</si>
  <si>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</si>
  <si>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</si>
  <si>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</si>
  <si>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</si>
  <si>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</si>
  <si>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</si>
  <si>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</si>
  <si>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</si>
  <si>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</si>
  <si>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</si>
  <si>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</si>
  <si>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</si>
  <si>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</si>
  <si>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</si>
  <si>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</si>
  <si>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</si>
  <si>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</si>
  <si>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</si>
  <si>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</si>
  <si>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</si>
  <si>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</si>
  <si>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</si>
  <si>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</si>
  <si>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</si>
  <si>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</si>
  <si>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</si>
  <si>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</si>
  <si>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</si>
  <si>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</si>
  <si>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</si>
  <si>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</si>
  <si>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</si>
  <si>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</si>
  <si>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</si>
  <si>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</si>
  <si>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</si>
  <si>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</si>
  <si>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</si>
  <si>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</si>
  <si>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</si>
  <si>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</si>
  <si>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</si>
  <si>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</si>
  <si>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</si>
  <si>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</si>
  <si>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</si>
  <si>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</si>
  <si>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</si>
  <si>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</si>
  <si>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</si>
  <si>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</si>
  <si>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</si>
  <si>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</si>
  <si>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</si>
  <si>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</si>
  <si>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</si>
  <si>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</si>
  <si>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</si>
  <si>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</si>
  <si>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</si>
  <si>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</si>
  <si>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</si>
  <si>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</si>
  <si>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</si>
  <si>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</si>
  <si>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</si>
  <si>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</si>
  <si>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</si>
  <si>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</si>
  <si>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</si>
  <si>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</si>
  <si>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</si>
  <si>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</si>
  <si>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</si>
  <si>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</si>
  <si>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</si>
  <si>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</si>
  <si>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</si>
  <si>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</si>
  <si>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</si>
  <si>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</si>
  <si>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</si>
  <si>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</si>
  <si>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</si>
  <si>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</si>
  <si>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</si>
  <si>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</si>
  <si>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</si>
  <si>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</si>
  <si>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</si>
  <si>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</si>
  <si>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</si>
  <si>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</si>
  <si>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</si>
  <si>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</si>
  <si>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</si>
  <si>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</si>
  <si>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</si>
  <si>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</si>
  <si>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</si>
  <si>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</si>
  <si>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</si>
  <si>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</si>
  <si>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</si>
  <si>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</si>
  <si>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</si>
  <si>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</si>
  <si>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</si>
  <si>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</si>
  <si>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</si>
  <si>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</si>
  <si>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</si>
  <si>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</si>
  <si>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</si>
  <si>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</si>
  <si>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</si>
  <si>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</si>
  <si>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</si>
  <si>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</si>
  <si>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</si>
  <si>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</si>
  <si>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</si>
  <si>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</si>
  <si>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</si>
  <si>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</si>
  <si>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</si>
  <si>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</si>
  <si>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</si>
  <si>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</si>
  <si>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</si>
  <si>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</si>
  <si>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</si>
  <si>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</si>
  <si>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</si>
  <si>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</si>
  <si>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</si>
  <si>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</si>
  <si>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</si>
  <si>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</si>
  <si>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</si>
  <si>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</si>
  <si>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</si>
  <si>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</si>
  <si>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</si>
  <si>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</si>
  <si>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</si>
  <si>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</si>
  <si>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</si>
  <si>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</si>
  <si>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</si>
  <si>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</si>
  <si>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</si>
  <si>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</si>
  <si>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</si>
  <si>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</si>
  <si>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</si>
  <si>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</si>
  <si>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</si>
  <si>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</si>
  <si>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</si>
  <si>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</si>
  <si>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</si>
  <si>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</si>
  <si>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</si>
  <si>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</si>
  <si>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</si>
  <si>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</si>
  <si>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</si>
  <si>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</si>
  <si>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</si>
  <si>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</si>
  <si>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</si>
  <si>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</si>
  <si>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</si>
  <si>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</si>
  <si>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</si>
  <si>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</si>
  <si>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</si>
  <si>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</si>
  <si>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</si>
  <si>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</si>
  <si>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</si>
  <si>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</si>
  <si>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</si>
  <si>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</si>
  <si>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</si>
  <si>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</si>
  <si>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</si>
  <si>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</si>
  <si>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</si>
  <si>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</si>
  <si>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</si>
  <si>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</si>
  <si>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</si>
  <si>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</si>
  <si>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</si>
  <si>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</si>
  <si>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</si>
  <si>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</si>
  <si>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</si>
  <si>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</si>
  <si>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</si>
  <si>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</si>
  <si>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</si>
  <si>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</si>
  <si>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</si>
  <si>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</si>
  <si>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</si>
  <si>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</si>
  <si>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</si>
  <si>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</si>
  <si>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</si>
  <si>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</si>
  <si>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</si>
  <si>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</si>
  <si>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</si>
  <si>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</si>
  <si>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</si>
  <si>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</si>
  <si>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</si>
  <si>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</si>
  <si>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</si>
  <si>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</si>
  <si>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</si>
  <si>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</si>
  <si>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</si>
  <si>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</si>
  <si>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</si>
  <si>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</si>
  <si>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</si>
  <si>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</si>
  <si>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</si>
  <si>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</si>
  <si>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</si>
  <si>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</si>
  <si>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</si>
  <si>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</si>
  <si>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</si>
  <si>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</si>
  <si>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</si>
  <si>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</si>
  <si>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</si>
  <si>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</si>
  <si>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</si>
  <si>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</si>
  <si>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</si>
  <si>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</si>
  <si>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</si>
  <si>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</si>
  <si>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</si>
  <si>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</si>
  <si>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</si>
  <si>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</si>
  <si>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</si>
  <si>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</si>
  <si>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</si>
  <si>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</si>
  <si>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</si>
  <si>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</si>
  <si>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</si>
  <si>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</si>
  <si>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</si>
  <si>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</si>
  <si>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</si>
  <si>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</si>
  <si>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</si>
  <si>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</si>
  <si>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</si>
  <si>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</si>
  <si>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</si>
  <si>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</si>
  <si>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</si>
  <si>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</si>
  <si>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</si>
  <si>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</si>
  <si>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</si>
  <si>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</si>
  <si>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</si>
  <si>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</si>
  <si>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</si>
  <si>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</si>
  <si>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</si>
  <si>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</si>
  <si>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</si>
  <si>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</si>
  <si>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</si>
  <si>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</si>
  <si>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</si>
  <si>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</si>
  <si>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</si>
  <si>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</si>
  <si>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</si>
  <si>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</si>
  <si>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</si>
  <si>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</si>
  <si>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</si>
  <si>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</si>
  <si>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</si>
  <si>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</si>
  <si>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</si>
  <si>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</si>
  <si>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</si>
  <si>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</si>
  <si>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</si>
  <si>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</si>
  <si>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</si>
  <si>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</si>
  <si>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</si>
  <si>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</si>
  <si>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</si>
  <si>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</si>
  <si>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</si>
  <si>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</si>
  <si>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</si>
  <si>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</si>
  <si>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</si>
  <si>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</si>
  <si>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</si>
  <si>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</si>
  <si>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</si>
  <si>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</si>
  <si>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</si>
  <si>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</si>
  <si>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</si>
  <si>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</si>
  <si>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</si>
  <si>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</si>
  <si>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</si>
  <si>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</si>
  <si>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</si>
  <si>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</si>
  <si>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</si>
  <si>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</si>
  <si>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</si>
  <si>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</si>
  <si>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</si>
  <si>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</si>
  <si>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</si>
  <si>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</si>
  <si>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</si>
  <si>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</si>
  <si>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</si>
  <si>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</si>
  <si>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</si>
  <si>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</si>
  <si>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</si>
  <si>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</si>
  <si>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</si>
  <si>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</si>
  <si>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</si>
  <si>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</si>
  <si>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</si>
  <si>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</si>
  <si>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</si>
  <si>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</si>
  <si>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</si>
  <si>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</si>
  <si>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</si>
  <si>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</si>
  <si>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</si>
  <si>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</si>
  <si>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</si>
  <si>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</si>
  <si>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</si>
  <si>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</si>
  <si>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</si>
  <si>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</si>
  <si>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</si>
  <si>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</si>
  <si>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</si>
  <si>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</si>
  <si>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</si>
  <si>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</si>
  <si>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</si>
  <si>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</si>
  <si>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</si>
  <si>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</si>
  <si>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</si>
  <si>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</si>
  <si>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</si>
  <si>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</si>
  <si>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</si>
  <si>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</si>
  <si>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</si>
  <si>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</si>
  <si>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</si>
  <si>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</si>
  <si>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</si>
  <si>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</si>
  <si>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</si>
  <si>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</si>
  <si>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</si>
  <si>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</si>
  <si>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</si>
  <si>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</si>
  <si>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</si>
  <si>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</si>
  <si>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</si>
  <si>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</si>
  <si>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</si>
  <si>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</si>
  <si>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</si>
  <si>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</si>
  <si>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</si>
  <si>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</si>
  <si>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</si>
  <si>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</si>
  <si>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</si>
  <si>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</si>
  <si>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</si>
  <si>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</si>
  <si>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</si>
  <si>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</si>
  <si>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</si>
  <si>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</si>
  <si>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</si>
  <si>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</si>
  <si>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</si>
  <si>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</si>
  <si>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</si>
  <si>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</si>
  <si>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</si>
  <si>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</si>
  <si>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</si>
  <si>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</si>
  <si>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</si>
  <si>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</si>
  <si>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</si>
  <si>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</si>
  <si>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</si>
  <si>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</si>
  <si>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</si>
  <si>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</si>
  <si>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</si>
  <si>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</si>
  <si>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</si>
  <si>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</si>
  <si>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</si>
  <si>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</si>
  <si>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</si>
  <si>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</si>
  <si>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</si>
  <si>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</si>
  <si>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</si>
  <si>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</si>
  <si>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</si>
  <si>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</si>
  <si>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</si>
  <si>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</si>
  <si>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</si>
  <si>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</si>
  <si>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</si>
  <si>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</si>
  <si>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</si>
  <si>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</si>
  <si>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</si>
  <si>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</si>
  <si>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</si>
  <si>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</si>
  <si>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</si>
  <si>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</si>
  <si>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</si>
  <si>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</si>
  <si>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</si>
  <si>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</si>
  <si>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</si>
  <si>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</si>
  <si>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</si>
  <si>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</si>
  <si>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</si>
  <si>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</si>
  <si>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</si>
  <si>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</si>
  <si>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</si>
  <si>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</si>
  <si>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</si>
  <si>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</si>
  <si>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</si>
  <si>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</si>
  <si>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</si>
  <si>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</si>
  <si>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</si>
  <si>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</si>
  <si>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</si>
  <si>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</si>
  <si>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</si>
  <si>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</si>
  <si>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</si>
  <si>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</si>
  <si>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</si>
  <si>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</si>
  <si>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</si>
  <si>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</si>
  <si>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</si>
  <si>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</si>
  <si>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</si>
  <si>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</si>
  <si>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</si>
  <si>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</si>
  <si>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</si>
  <si>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</si>
  <si>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</si>
  <si>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</si>
  <si>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</si>
  <si>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</si>
  <si>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</si>
  <si>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</si>
  <si>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</si>
  <si>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</si>
  <si>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</si>
  <si>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</si>
  <si>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</si>
  <si>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</si>
  <si>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</si>
  <si>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</si>
  <si>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</si>
  <si>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</si>
  <si>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</si>
  <si>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</si>
  <si>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</si>
  <si>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</si>
  <si>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</si>
  <si>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</si>
  <si>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</si>
  <si>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</si>
  <si>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</si>
  <si>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</si>
  <si>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</si>
  <si>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</si>
  <si>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</si>
  <si>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</si>
  <si>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</si>
  <si>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</si>
  <si>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</si>
  <si>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</si>
  <si>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</si>
  <si>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</si>
  <si>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</si>
  <si>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</si>
  <si>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</si>
  <si>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</si>
  <si>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</si>
  <si>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</si>
  <si>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</si>
  <si>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</si>
  <si>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</si>
  <si>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</si>
  <si>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</si>
  <si>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</si>
  <si>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</si>
  <si>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</si>
  <si>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</si>
  <si>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</si>
  <si>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</si>
  <si>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</si>
  <si>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</si>
  <si>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</si>
  <si>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</si>
  <si>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</si>
  <si>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</si>
  <si>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</si>
  <si>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</si>
  <si>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</si>
  <si>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</si>
  <si>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</si>
  <si>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</si>
  <si>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</si>
  <si>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</si>
  <si>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</si>
  <si>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</si>
  <si>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</si>
  <si>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</si>
  <si>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</si>
  <si>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</si>
  <si>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</si>
  <si>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</si>
  <si>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</si>
  <si>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</si>
  <si>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</si>
  <si>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</si>
  <si>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</si>
  <si>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</si>
  <si>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</si>
  <si>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</si>
  <si>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</si>
  <si>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</si>
  <si>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</si>
  <si>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</si>
  <si>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</si>
  <si>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</si>
  <si>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</si>
  <si>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</si>
  <si>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</si>
  <si>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</si>
  <si>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</si>
  <si>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</si>
  <si>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</si>
  <si>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</si>
  <si>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</si>
  <si>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</si>
  <si>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</si>
  <si>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</si>
  <si>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</si>
  <si>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</si>
  <si>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</si>
  <si>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</si>
  <si>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</si>
  <si>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</si>
  <si>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</si>
  <si>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</si>
  <si>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</si>
  <si>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</si>
  <si>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</si>
  <si>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</si>
  <si>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</si>
  <si>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</si>
  <si>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</si>
  <si>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</si>
  <si>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</si>
  <si>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</si>
  <si>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</si>
  <si>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</si>
  <si>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</si>
  <si>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</si>
  <si>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</si>
  <si>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</si>
  <si>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</si>
  <si>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</si>
  <si>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</si>
  <si>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</si>
  <si>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</si>
  <si>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</si>
  <si>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</si>
  <si>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</si>
  <si>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</si>
  <si>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</si>
  <si>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</si>
  <si>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</si>
  <si>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</si>
  <si>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</si>
  <si>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</si>
  <si>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</si>
  <si>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</si>
  <si>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</si>
  <si>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</si>
  <si>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</si>
  <si>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</si>
  <si>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</si>
  <si>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</si>
  <si>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</si>
  <si>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</si>
  <si>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</si>
  <si>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</si>
  <si>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</si>
  <si>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</si>
  <si>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</si>
  <si>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</si>
  <si>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</si>
  <si>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</si>
  <si>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</si>
  <si>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</si>
  <si>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</si>
  <si>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</si>
  <si>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</si>
  <si>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</si>
  <si>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</si>
  <si>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</si>
  <si>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</si>
  <si>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</si>
  <si>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</si>
  <si>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</si>
  <si>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</si>
  <si>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</si>
  <si>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</si>
  <si>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</si>
  <si>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</si>
  <si>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</si>
  <si>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</si>
  <si>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</si>
  <si>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</si>
  <si>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</si>
  <si>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</si>
  <si>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</si>
  <si>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</si>
  <si>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</si>
  <si>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</si>
  <si>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</si>
  <si>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</si>
  <si>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</si>
  <si>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</si>
  <si>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</si>
  <si>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</si>
  <si>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</si>
  <si>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</si>
  <si>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</si>
  <si>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</si>
  <si>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61539263602</t>
  </si>
  <si>
    <t>01331981</t>
  </si>
  <si>
    <t>070048488</t>
  </si>
  <si>
    <t>REDEA d.o.o.</t>
  </si>
  <si>
    <t>ČAKOVEC</t>
  </si>
  <si>
    <t>Bana Josipa Jelačića 22</t>
  </si>
  <si>
    <t>redea@redea.hr</t>
  </si>
  <si>
    <t>040/395-560</t>
  </si>
  <si>
    <t>www.redea.hr</t>
  </si>
  <si>
    <t>Nada Kanižaj</t>
  </si>
  <si>
    <t>040/364-037</t>
  </si>
  <si>
    <t>rin-commerce@ck.t-com.hr</t>
  </si>
  <si>
    <t>POLANEC MARINOVIĆ SANDRA</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</si>
</sst>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thin"/>
      <right style="thin">
        <color indexed="9"/>
      </right>
      <top style="thin"/>
      <bottom style="medium">
        <color indexed="22"/>
      </bottom>
    </border>
    <border>
      <left style="thin"/>
      <right style="thin">
        <color indexed="9"/>
      </right>
      <top style="medium">
        <color indexed="22"/>
      </top>
      <bottom style="thin"/>
    </border>
    <border>
      <left style="medium"/>
      <right style="medium"/>
      <top style="medium"/>
      <bottom>
        <color indexed="63"/>
      </bottom>
    </border>
    <border>
      <left style="medium"/>
      <right style="medium"/>
      <top>
        <color indexed="63"/>
      </top>
      <bottom style="medium"/>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0" fillId="20" borderId="1" applyNumberFormat="0" applyFont="0" applyAlignment="0" applyProtection="0"/>
    <xf numFmtId="0" fontId="79" fillId="21" borderId="0" applyNumberFormat="0" applyBorder="0" applyAlignment="0" applyProtection="0"/>
    <xf numFmtId="0" fontId="4"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0" fillId="28" borderId="2" applyNumberFormat="0" applyAlignment="0" applyProtection="0"/>
    <xf numFmtId="0" fontId="81" fillId="28" borderId="3" applyNumberFormat="0" applyAlignment="0" applyProtection="0"/>
    <xf numFmtId="0" fontId="82" fillId="29" borderId="0" applyNumberFormat="0" applyBorder="0" applyAlignment="0" applyProtection="0"/>
    <xf numFmtId="0" fontId="83" fillId="0" borderId="0" applyNumberFormat="0" applyFill="0" applyBorder="0" applyAlignment="0" applyProtection="0"/>
    <xf numFmtId="0" fontId="84" fillId="0" borderId="4" applyNumberFormat="0" applyFill="0" applyAlignment="0" applyProtection="0"/>
    <xf numFmtId="0" fontId="85" fillId="0" borderId="5" applyNumberFormat="0" applyFill="0" applyAlignment="0" applyProtection="0"/>
    <xf numFmtId="0" fontId="86" fillId="0" borderId="6" applyNumberFormat="0" applyFill="0" applyAlignment="0" applyProtection="0"/>
    <xf numFmtId="0" fontId="86" fillId="0" borderId="0" applyNumberFormat="0" applyFill="0" applyBorder="0" applyAlignment="0" applyProtection="0"/>
    <xf numFmtId="0" fontId="87" fillId="30" borderId="0" applyNumberFormat="0" applyBorder="0" applyAlignment="0" applyProtection="0"/>
    <xf numFmtId="0" fontId="5" fillId="0" borderId="0">
      <alignment/>
      <protection/>
    </xf>
    <xf numFmtId="9" fontId="0" fillId="0" borderId="0" applyFont="0" applyFill="0" applyBorder="0" applyAlignment="0" applyProtection="0"/>
    <xf numFmtId="0" fontId="88" fillId="0" borderId="7" applyNumberFormat="0" applyFill="0" applyAlignment="0" applyProtection="0"/>
    <xf numFmtId="0" fontId="6" fillId="0" borderId="0" applyNumberFormat="0" applyFill="0" applyBorder="0" applyAlignment="0" applyProtection="0"/>
    <xf numFmtId="0" fontId="89" fillId="31" borderId="8"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7"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11"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protection hidden="1"/>
    </xf>
    <xf numFmtId="0" fontId="19"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4"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4"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7"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4" fillId="33" borderId="19" xfId="0" applyNumberFormat="1"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protection locked="0"/>
    </xf>
    <xf numFmtId="0" fontId="27" fillId="0" borderId="20" xfId="0" applyFont="1" applyBorder="1" applyAlignment="1" applyProtection="1">
      <alignment horizontal="center" vertical="center"/>
      <protection hidden="1"/>
    </xf>
    <xf numFmtId="0" fontId="27"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4" fillId="33" borderId="22" xfId="0" applyNumberFormat="1" applyFont="1" applyFill="1" applyBorder="1" applyAlignment="1" applyProtection="1">
      <alignment horizontal="center" vertical="center"/>
      <protection locked="0"/>
    </xf>
    <xf numFmtId="49" fontId="14" fillId="33" borderId="22" xfId="0" applyNumberFormat="1" applyFont="1" applyFill="1" applyBorder="1" applyAlignment="1" applyProtection="1">
      <alignment horizontal="center" vertical="center"/>
      <protection locked="0"/>
    </xf>
    <xf numFmtId="3" fontId="14" fillId="33" borderId="22" xfId="0" applyNumberFormat="1" applyFont="1" applyFill="1" applyBorder="1" applyAlignment="1" applyProtection="1">
      <alignment horizontal="center" vertical="center"/>
      <protection locked="0"/>
    </xf>
    <xf numFmtId="0" fontId="14" fillId="33" borderId="22" xfId="0" applyFont="1" applyFill="1" applyBorder="1" applyAlignment="1" applyProtection="1">
      <alignment horizontal="center" vertical="center"/>
      <protection locked="0"/>
    </xf>
    <xf numFmtId="0" fontId="14"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46" fillId="0" borderId="0" xfId="0" applyNumberFormat="1"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8" fillId="0" borderId="0" xfId="0" applyFont="1" applyAlignment="1">
      <alignment vertical="center"/>
    </xf>
    <xf numFmtId="0" fontId="18"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5" fillId="35" borderId="24" xfId="35" applyFont="1" applyFill="1" applyBorder="1" applyAlignment="1" applyProtection="1">
      <alignment horizontal="center" vertical="center" shrinkToFit="1"/>
      <protection hidden="1"/>
    </xf>
    <xf numFmtId="0" fontId="45" fillId="35" borderId="25" xfId="35" applyFont="1" applyFill="1" applyBorder="1" applyAlignment="1" applyProtection="1">
      <alignment horizontal="center" vertical="center" shrinkToFit="1"/>
      <protection hidden="1"/>
    </xf>
    <xf numFmtId="1" fontId="14" fillId="33" borderId="22" xfId="0" applyNumberFormat="1" applyFont="1" applyFill="1" applyBorder="1" applyAlignment="1" applyProtection="1">
      <alignment horizontal="left" vertical="center"/>
      <protection locked="0"/>
    </xf>
    <xf numFmtId="3" fontId="9"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top" wrapText="1"/>
      <protection hidden="1"/>
    </xf>
    <xf numFmtId="0" fontId="39"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9" fillId="0" borderId="15" xfId="0" applyNumberFormat="1" applyFont="1" applyFill="1" applyBorder="1" applyAlignment="1" applyProtection="1">
      <alignment horizontal="right" vertical="center" shrinkToFit="1"/>
      <protection hidden="1"/>
    </xf>
    <xf numFmtId="3" fontId="9" fillId="0" borderId="17" xfId="0" applyNumberFormat="1" applyFont="1" applyFill="1" applyBorder="1" applyAlignment="1" applyProtection="1">
      <alignment horizontal="right" vertical="center" shrinkToFit="1"/>
      <protection hidden="1"/>
    </xf>
    <xf numFmtId="3" fontId="9" fillId="0" borderId="16" xfId="0" applyNumberFormat="1" applyFont="1" applyFill="1" applyBorder="1" applyAlignment="1" applyProtection="1">
      <alignment vertical="center"/>
      <protection hidden="1"/>
    </xf>
    <xf numFmtId="3" fontId="9"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9"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9" fillId="37" borderId="28" xfId="0" applyFont="1" applyFill="1" applyBorder="1" applyAlignment="1" applyProtection="1">
      <alignment horizontal="center" vertical="center" wrapText="1"/>
      <protection hidden="1"/>
    </xf>
    <xf numFmtId="0" fontId="28" fillId="37" borderId="28" xfId="0" applyFont="1" applyFill="1" applyBorder="1" applyAlignment="1">
      <alignment horizontal="center" vertical="center" wrapText="1"/>
    </xf>
    <xf numFmtId="0" fontId="28" fillId="37" borderId="29" xfId="0" applyFont="1" applyFill="1" applyBorder="1" applyAlignment="1">
      <alignment horizontal="center" vertical="center" wrapText="1"/>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0" fontId="28" fillId="37" borderId="28" xfId="0" applyFont="1" applyFill="1" applyBorder="1" applyAlignment="1" applyProtection="1">
      <alignment horizontal="center" vertical="center" wrapText="1"/>
      <protection hidden="1"/>
    </xf>
    <xf numFmtId="0" fontId="28" fillId="37" borderId="29"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protection hidden="1"/>
    </xf>
    <xf numFmtId="0" fontId="29" fillId="37" borderId="31" xfId="0" applyFont="1" applyFill="1" applyBorder="1" applyAlignment="1" applyProtection="1">
      <alignment horizontal="center" vertical="center" wrapText="1"/>
      <protection hidden="1"/>
    </xf>
    <xf numFmtId="0" fontId="28" fillId="38" borderId="28" xfId="0" applyFont="1" applyFill="1" applyBorder="1" applyAlignment="1">
      <alignment horizontal="center" vertical="center" wrapText="1"/>
    </xf>
    <xf numFmtId="0" fontId="28" fillId="38" borderId="29" xfId="0" applyFont="1" applyFill="1" applyBorder="1" applyAlignment="1">
      <alignment horizontal="center" vertical="center" wrapText="1"/>
    </xf>
    <xf numFmtId="0" fontId="0" fillId="0" borderId="0" xfId="0" applyFont="1" applyAlignment="1">
      <alignment vertical="center"/>
    </xf>
    <xf numFmtId="0" fontId="28" fillId="38" borderId="30" xfId="0" applyFont="1" applyFill="1" applyBorder="1" applyAlignment="1">
      <alignment horizontal="center" vertical="center" wrapText="1"/>
    </xf>
    <xf numFmtId="0" fontId="28" fillId="38" borderId="30" xfId="0" applyFont="1" applyFill="1" applyBorder="1" applyAlignment="1">
      <alignment horizontal="center" vertical="center"/>
    </xf>
    <xf numFmtId="0" fontId="28" fillId="38" borderId="31" xfId="0" applyFont="1" applyFill="1" applyBorder="1" applyAlignment="1">
      <alignment horizontal="center" vertical="center" wrapText="1"/>
    </xf>
    <xf numFmtId="0" fontId="28" fillId="37" borderId="32" xfId="0" applyFont="1" applyFill="1" applyBorder="1" applyAlignment="1">
      <alignment horizontal="center" vertical="center" wrapText="1"/>
    </xf>
    <xf numFmtId="49" fontId="28" fillId="37" borderId="30" xfId="0" applyNumberFormat="1" applyFont="1" applyFill="1" applyBorder="1" applyAlignment="1">
      <alignment horizontal="center" vertical="center"/>
    </xf>
    <xf numFmtId="49" fontId="28" fillId="37" borderId="31" xfId="0" applyNumberFormat="1" applyFont="1" applyFill="1" applyBorder="1" applyAlignment="1" applyProtection="1">
      <alignment horizontal="center" vertical="center"/>
      <protection hidden="1"/>
    </xf>
    <xf numFmtId="0" fontId="12" fillId="0" borderId="26" xfId="0" applyFont="1" applyFill="1" applyBorder="1" applyAlignment="1">
      <alignment horizontal="center" vertical="top" wrapText="1"/>
    </xf>
    <xf numFmtId="0" fontId="29" fillId="37" borderId="30" xfId="0" applyFont="1" applyFill="1" applyBorder="1" applyAlignment="1">
      <alignment horizontal="center" vertical="center"/>
    </xf>
    <xf numFmtId="49" fontId="29" fillId="37" borderId="30" xfId="0" applyNumberFormat="1" applyFont="1" applyFill="1" applyBorder="1" applyAlignment="1" applyProtection="1">
      <alignment horizontal="center" vertical="center"/>
      <protection hidden="1"/>
    </xf>
    <xf numFmtId="49" fontId="29" fillId="37" borderId="30" xfId="0" applyNumberFormat="1" applyFont="1" applyFill="1" applyBorder="1" applyAlignment="1">
      <alignment horizontal="center" vertical="center" wrapText="1"/>
    </xf>
    <xf numFmtId="49" fontId="29" fillId="37" borderId="31"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39"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9"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9" fillId="0" borderId="17" xfId="0" applyNumberFormat="1" applyFont="1" applyFill="1" applyBorder="1" applyAlignment="1" applyProtection="1">
      <alignment horizontal="right" vertical="center"/>
      <protection hidden="1"/>
    </xf>
    <xf numFmtId="0" fontId="16" fillId="0" borderId="26" xfId="0" applyFont="1" applyFill="1" applyBorder="1" applyAlignment="1">
      <alignment horizontal="center" vertical="top" wrapText="1"/>
    </xf>
    <xf numFmtId="0" fontId="16" fillId="0" borderId="0" xfId="0" applyFont="1" applyFill="1" applyBorder="1" applyAlignment="1">
      <alignment horizontal="center" vertical="top" wrapText="1"/>
    </xf>
    <xf numFmtId="0" fontId="49" fillId="0" borderId="0" xfId="0" applyFont="1" applyBorder="1" applyAlignment="1">
      <alignment horizontal="center" vertical="top" wrapText="1"/>
    </xf>
    <xf numFmtId="0" fontId="16" fillId="0" borderId="26" xfId="0" applyFont="1" applyBorder="1" applyAlignment="1">
      <alignment horizontal="center" vertical="center" wrapText="1"/>
    </xf>
    <xf numFmtId="49" fontId="11" fillId="0" borderId="18"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1" fillId="0" borderId="0" xfId="0" applyFont="1" applyFill="1" applyBorder="1" applyAlignment="1">
      <alignment/>
    </xf>
    <xf numFmtId="0" fontId="1" fillId="0" borderId="0" xfId="0" applyFont="1" applyFill="1" applyBorder="1" applyAlignment="1">
      <alignment/>
    </xf>
    <xf numFmtId="0" fontId="50" fillId="0" borderId="0" xfId="0" applyFont="1" applyFill="1" applyBorder="1" applyAlignment="1">
      <alignment/>
    </xf>
    <xf numFmtId="0" fontId="51"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8"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7" fillId="0" borderId="26" xfId="0" applyFont="1" applyBorder="1" applyAlignment="1" applyProtection="1">
      <alignment horizontal="right" vertical="center"/>
      <protection hidden="1"/>
    </xf>
    <xf numFmtId="0" fontId="7" fillId="0" borderId="26" xfId="0" applyFont="1" applyBorder="1" applyAlignment="1" applyProtection="1">
      <alignment vertical="center"/>
      <protection hidden="1"/>
    </xf>
    <xf numFmtId="0" fontId="7"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2" fillId="0" borderId="0" xfId="0" applyFont="1" applyAlignment="1" applyProtection="1">
      <alignment vertical="center"/>
      <protection hidden="1"/>
    </xf>
    <xf numFmtId="0" fontId="34" fillId="0" borderId="0" xfId="0" applyFont="1" applyAlignment="1" applyProtection="1">
      <alignment horizontal="center" vertical="center"/>
      <protection hidden="1"/>
    </xf>
    <xf numFmtId="0" fontId="35"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2" fillId="0" borderId="0" xfId="0" applyFont="1" applyAlignment="1" applyProtection="1">
      <alignment vertical="center"/>
      <protection hidden="1"/>
    </xf>
    <xf numFmtId="0" fontId="8"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8"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3"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3"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3"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2" fillId="0" borderId="0" xfId="0" applyFont="1" applyAlignment="1" applyProtection="1">
      <alignment vertical="center" wrapText="1"/>
      <protection hidden="1"/>
    </xf>
    <xf numFmtId="0" fontId="2" fillId="0" borderId="0" xfId="0" applyFont="1" applyAlignment="1">
      <alignment horizontal="left" vertical="center" wrapText="1"/>
    </xf>
    <xf numFmtId="0" fontId="8"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1" fillId="0" borderId="18" xfId="0" applyNumberFormat="1" applyFont="1" applyFill="1" applyBorder="1" applyAlignment="1">
      <alignment horizontal="center" vertical="center"/>
    </xf>
    <xf numFmtId="182" fontId="11" fillId="0" borderId="33" xfId="0" applyNumberFormat="1" applyFont="1" applyFill="1" applyBorder="1" applyAlignment="1">
      <alignment horizontal="center" vertical="center"/>
    </xf>
    <xf numFmtId="3" fontId="53" fillId="0" borderId="33" xfId="0" applyNumberFormat="1" applyFont="1" applyFill="1" applyBorder="1" applyAlignment="1" applyProtection="1">
      <alignment vertical="center" shrinkToFit="1"/>
      <protection hidden="1"/>
    </xf>
    <xf numFmtId="3" fontId="53"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4"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1"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center" wrapText="1"/>
      <protection hidden="1"/>
    </xf>
    <xf numFmtId="0" fontId="11" fillId="0" borderId="0" xfId="0" applyFont="1" applyBorder="1" applyAlignment="1">
      <alignment horizontal="right" vertical="center" wrapText="1"/>
    </xf>
    <xf numFmtId="0" fontId="55" fillId="0" borderId="42" xfId="0" applyFont="1" applyBorder="1" applyAlignment="1">
      <alignment horizontal="center" vertical="center" wrapText="1"/>
    </xf>
    <xf numFmtId="0" fontId="56" fillId="0" borderId="42" xfId="0" applyFont="1" applyBorder="1" applyAlignment="1">
      <alignment horizontal="center" vertical="center" wrapText="1"/>
    </xf>
    <xf numFmtId="0" fontId="1" fillId="0" borderId="23" xfId="0" applyFont="1" applyFill="1" applyBorder="1" applyAlignment="1">
      <alignment vertical="center"/>
    </xf>
    <xf numFmtId="0" fontId="27" fillId="0" borderId="23"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hidden="1"/>
    </xf>
    <xf numFmtId="3" fontId="9" fillId="0" borderId="27" xfId="0" applyNumberFormat="1" applyFont="1" applyFill="1" applyBorder="1" applyAlignment="1" applyProtection="1">
      <alignment vertical="center"/>
      <protection hidden="1"/>
    </xf>
    <xf numFmtId="49" fontId="28"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2"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8" fillId="34" borderId="48" xfId="0" applyFont="1" applyFill="1" applyBorder="1" applyAlignment="1" applyProtection="1">
      <alignment horizontal="center" vertical="center"/>
      <protection hidden="1"/>
    </xf>
    <xf numFmtId="0" fontId="18" fillId="34" borderId="49" xfId="0" applyFont="1" applyFill="1" applyBorder="1" applyAlignment="1" applyProtection="1">
      <alignment horizontal="center" vertical="center"/>
      <protection hidden="1"/>
    </xf>
    <xf numFmtId="0" fontId="18"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1"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7" fillId="0" borderId="49" xfId="35" applyFont="1" applyBorder="1" applyAlignment="1" applyProtection="1">
      <alignment vertical="center"/>
      <protection hidden="1"/>
    </xf>
    <xf numFmtId="0" fontId="57" fillId="0" borderId="49" xfId="35" applyFont="1" applyBorder="1" applyAlignment="1" applyProtection="1">
      <alignment vertical="center"/>
      <protection/>
    </xf>
    <xf numFmtId="0" fontId="57"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8" fillId="0" borderId="35" xfId="0" applyFont="1" applyBorder="1" applyAlignment="1" applyProtection="1">
      <alignment horizontal="left" vertical="center"/>
      <protection hidden="1"/>
    </xf>
    <xf numFmtId="0" fontId="8"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4" fillId="33" borderId="51" xfId="0" applyNumberFormat="1" applyFont="1" applyFill="1" applyBorder="1" applyAlignment="1" applyProtection="1">
      <alignment horizontal="center" vertical="center"/>
      <protection locked="0"/>
    </xf>
    <xf numFmtId="49" fontId="14"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8"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4"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4"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4"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10"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1"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2"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6"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1" fillId="0" borderId="59" xfId="0" applyFont="1" applyBorder="1" applyAlignment="1" applyProtection="1">
      <alignment horizontal="center" vertical="center"/>
      <protection hidden="1"/>
    </xf>
    <xf numFmtId="0" fontId="41"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4" fillId="33" borderId="51" xfId="0" applyNumberFormat="1" applyFont="1" applyFill="1" applyBorder="1" applyAlignment="1" applyProtection="1">
      <alignment horizontal="left" vertical="center"/>
      <protection locked="0"/>
    </xf>
    <xf numFmtId="49" fontId="14" fillId="0" borderId="53" xfId="0" applyNumberFormat="1" applyFont="1" applyBorder="1" applyAlignment="1" applyProtection="1">
      <alignment horizontal="left" vertical="center"/>
      <protection locked="0"/>
    </xf>
    <xf numFmtId="49" fontId="14" fillId="0" borderId="52" xfId="0" applyNumberFormat="1" applyFont="1" applyBorder="1" applyAlignment="1" applyProtection="1">
      <alignment horizontal="left" vertical="center"/>
      <protection locked="0"/>
    </xf>
    <xf numFmtId="0" fontId="8" fillId="0" borderId="61" xfId="0" applyFont="1" applyBorder="1" applyAlignment="1" applyProtection="1">
      <alignment vertical="center"/>
      <protection hidden="1"/>
    </xf>
    <xf numFmtId="0" fontId="41"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4" fillId="33" borderId="51"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34" fillId="0" borderId="0" xfId="0" applyFont="1" applyBorder="1" applyAlignment="1" applyProtection="1">
      <alignment horizontal="left" vertical="center"/>
      <protection hidden="1"/>
    </xf>
    <xf numFmtId="0" fontId="35" fillId="0" borderId="0" xfId="0" applyFont="1" applyAlignment="1" applyProtection="1">
      <alignment vertical="center"/>
      <protection hidden="1"/>
    </xf>
    <xf numFmtId="4" fontId="24" fillId="41" borderId="54" xfId="0" applyNumberFormat="1" applyFont="1" applyFill="1" applyBorder="1" applyAlignment="1" applyProtection="1">
      <alignment horizontal="center" vertical="center"/>
      <protection hidden="1"/>
    </xf>
    <xf numFmtId="4" fontId="24" fillId="35" borderId="26" xfId="0" applyNumberFormat="1" applyFont="1" applyFill="1" applyBorder="1" applyAlignment="1" applyProtection="1">
      <alignment horizontal="center" vertical="center"/>
      <protection hidden="1"/>
    </xf>
    <xf numFmtId="4" fontId="24"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5" fillId="33" borderId="54" xfId="0" applyNumberFormat="1" applyFont="1" applyFill="1" applyBorder="1" applyAlignment="1" applyProtection="1">
      <alignment horizontal="center" vertical="center" shrinkToFit="1"/>
      <protection locked="0"/>
    </xf>
    <xf numFmtId="1" fontId="25" fillId="33" borderId="55" xfId="0" applyNumberFormat="1" applyFont="1" applyFill="1" applyBorder="1" applyAlignment="1" applyProtection="1">
      <alignment horizontal="center" vertical="center" shrinkToFit="1"/>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0" fillId="0" borderId="62" xfId="0" applyBorder="1" applyAlignment="1">
      <alignment vertical="center"/>
    </xf>
    <xf numFmtId="0" fontId="8"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36" fillId="33" borderId="51" xfId="35" applyFont="1" applyFill="1" applyBorder="1" applyAlignment="1" applyProtection="1">
      <alignment vertical="center"/>
      <protection locked="0"/>
    </xf>
    <xf numFmtId="0" fontId="36" fillId="0" borderId="53" xfId="0" applyFont="1" applyBorder="1" applyAlignment="1" applyProtection="1">
      <alignment vertical="center"/>
      <protection locked="0"/>
    </xf>
    <xf numFmtId="0" fontId="36" fillId="0" borderId="52" xfId="0" applyFont="1" applyBorder="1" applyAlignment="1" applyProtection="1">
      <alignment vertical="center"/>
      <protection locked="0"/>
    </xf>
    <xf numFmtId="49" fontId="14"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4" fillId="0" borderId="53" xfId="0" applyFont="1" applyBorder="1" applyAlignment="1" applyProtection="1">
      <alignment horizontal="left" vertical="center"/>
      <protection locked="0"/>
    </xf>
    <xf numFmtId="0" fontId="14"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2" fillId="0" borderId="35" xfId="0" applyFont="1" applyBorder="1" applyAlignment="1" applyProtection="1">
      <alignment horizontal="left" vertical="center" shrinkToFit="1"/>
      <protection hidden="1"/>
    </xf>
    <xf numFmtId="0" fontId="42"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2" fillId="0" borderId="0" xfId="0" applyFont="1" applyBorder="1" applyAlignment="1" applyProtection="1">
      <alignment vertical="center" shrinkToFit="1"/>
      <protection hidden="1"/>
    </xf>
    <xf numFmtId="0" fontId="22" fillId="0" borderId="35" xfId="0" applyFont="1" applyBorder="1" applyAlignment="1" applyProtection="1">
      <alignment vertical="center"/>
      <protection hidden="1"/>
    </xf>
    <xf numFmtId="0" fontId="43"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2" fillId="0" borderId="35" xfId="0" applyFont="1" applyBorder="1" applyAlignment="1" applyProtection="1">
      <alignment horizontal="left" vertical="center" indent="2" shrinkToFit="1"/>
      <protection hidden="1"/>
    </xf>
    <xf numFmtId="0" fontId="42"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8" fillId="0" borderId="35" xfId="0" applyFont="1" applyBorder="1" applyAlignment="1">
      <alignment vertical="center"/>
    </xf>
    <xf numFmtId="0" fontId="14" fillId="33" borderId="51" xfId="0" applyFont="1" applyFill="1" applyBorder="1" applyAlignment="1" applyProtection="1">
      <alignment horizontal="left" vertical="center" shrinkToFit="1"/>
      <protection locked="0"/>
    </xf>
    <xf numFmtId="0" fontId="33"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35" applyNumberFormat="1" applyFill="1" applyBorder="1" applyAlignment="1" applyProtection="1">
      <alignment horizontal="left" vertical="center"/>
      <protection locked="0"/>
    </xf>
    <xf numFmtId="49" fontId="14" fillId="33" borderId="52" xfId="0" applyNumberFormat="1" applyFont="1" applyFill="1" applyBorder="1" applyAlignment="1" applyProtection="1">
      <alignment horizontal="center" vertical="center"/>
      <protection locked="0"/>
    </xf>
    <xf numFmtId="0" fontId="42" fillId="0" borderId="35" xfId="0" applyFont="1" applyBorder="1" applyAlignment="1" applyProtection="1">
      <alignment horizontal="left" vertical="center"/>
      <protection hidden="1"/>
    </xf>
    <xf numFmtId="0" fontId="42" fillId="0" borderId="0" xfId="0" applyFont="1" applyAlignment="1">
      <alignment horizontal="left" vertical="center"/>
    </xf>
    <xf numFmtId="0" fontId="8"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8" fillId="0" borderId="61" xfId="0" applyFont="1" applyBorder="1" applyAlignment="1">
      <alignment vertical="center"/>
    </xf>
    <xf numFmtId="0" fontId="41" fillId="0" borderId="36" xfId="0" applyFont="1" applyBorder="1" applyAlignment="1" applyProtection="1">
      <alignment horizontal="left" vertical="center" wrapText="1" indent="2"/>
      <protection hidden="1"/>
    </xf>
    <xf numFmtId="0" fontId="52"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2" fillId="0" borderId="35" xfId="0" applyFont="1" applyBorder="1" applyAlignment="1" applyProtection="1">
      <alignment horizontal="left" vertical="center" indent="2"/>
      <protection hidden="1"/>
    </xf>
    <xf numFmtId="0" fontId="8" fillId="0" borderId="60" xfId="0" applyFont="1" applyBorder="1" applyAlignment="1" applyProtection="1">
      <alignment horizontal="left" vertical="center"/>
      <protection hidden="1"/>
    </xf>
    <xf numFmtId="0" fontId="37" fillId="0" borderId="1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2" fillId="34" borderId="15" xfId="0" applyFont="1" applyFill="1" applyBorder="1" applyAlignment="1">
      <alignment horizontal="left" vertical="center" wrapText="1"/>
    </xf>
    <xf numFmtId="0" fontId="39" fillId="34" borderId="15" xfId="0" applyFont="1" applyFill="1" applyBorder="1" applyAlignment="1">
      <alignment vertical="center"/>
    </xf>
    <xf numFmtId="0" fontId="28" fillId="37" borderId="64"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9" fillId="37" borderId="65"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39" fillId="34" borderId="15" xfId="0" applyFont="1" applyFill="1" applyBorder="1" applyAlignment="1">
      <alignment horizontal="left" vertical="center" wrapText="1"/>
    </xf>
    <xf numFmtId="0" fontId="14" fillId="36" borderId="66" xfId="0" applyFont="1" applyFill="1" applyBorder="1" applyAlignment="1" applyProtection="1">
      <alignment horizontal="center" vertical="center" wrapText="1"/>
      <protection hidden="1"/>
    </xf>
    <xf numFmtId="0" fontId="15" fillId="36" borderId="67"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48" fillId="0" borderId="34"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2" fillId="33" borderId="48" xfId="0" applyFont="1" applyFill="1" applyBorder="1" applyAlignment="1" applyProtection="1">
      <alignment vertical="center" wrapText="1"/>
      <protection hidden="1"/>
    </xf>
    <xf numFmtId="0" fontId="12" fillId="33" borderId="49" xfId="0" applyFont="1" applyFill="1" applyBorder="1" applyAlignment="1" applyProtection="1">
      <alignment vertical="center" wrapText="1"/>
      <protection hidden="1"/>
    </xf>
    <xf numFmtId="0" fontId="12" fillId="33" borderId="50" xfId="0" applyFont="1" applyFill="1" applyBorder="1" applyAlignment="1" applyProtection="1">
      <alignment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2"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2" fillId="34" borderId="15" xfId="0" applyFont="1" applyFill="1" applyBorder="1" applyAlignment="1">
      <alignment vertical="center" wrapText="1"/>
    </xf>
    <xf numFmtId="0" fontId="37" fillId="0" borderId="15" xfId="0" applyFont="1" applyFill="1" applyBorder="1" applyAlignment="1">
      <alignment horizontal="left" vertical="center" wrapText="1"/>
    </xf>
    <xf numFmtId="0" fontId="12" fillId="42" borderId="48" xfId="0" applyFont="1" applyFill="1" applyBorder="1" applyAlignment="1" applyProtection="1">
      <alignment vertical="center" wrapText="1"/>
      <protection hidden="1"/>
    </xf>
    <xf numFmtId="0" fontId="12" fillId="42" borderId="49" xfId="0" applyFont="1" applyFill="1" applyBorder="1" applyAlignment="1" applyProtection="1">
      <alignment vertical="center" wrapText="1"/>
      <protection hidden="1"/>
    </xf>
    <xf numFmtId="0" fontId="12" fillId="42" borderId="50" xfId="0" applyFont="1" applyFill="1" applyBorder="1" applyAlignment="1" applyProtection="1">
      <alignment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38" fillId="0" borderId="16" xfId="0" applyFont="1" applyFill="1" applyBorder="1" applyAlignment="1">
      <alignment horizontal="left" vertical="center" wrapText="1"/>
    </xf>
    <xf numFmtId="0" fontId="12" fillId="0" borderId="16" xfId="0" applyFont="1" applyFill="1" applyBorder="1" applyAlignment="1">
      <alignment horizontal="left" vertical="center" wrapText="1" indent="1"/>
    </xf>
    <xf numFmtId="0" fontId="12"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5" fillId="36" borderId="67" xfId="0" applyFont="1" applyFill="1" applyBorder="1" applyAlignment="1">
      <alignment horizontal="center" vertical="center" wrapText="1"/>
    </xf>
    <xf numFmtId="0" fontId="28" fillId="38" borderId="65" xfId="0" applyFont="1" applyFill="1" applyBorder="1" applyAlignment="1">
      <alignment horizontal="center" vertical="center" wrapText="1"/>
    </xf>
    <xf numFmtId="0" fontId="28" fillId="38" borderId="30" xfId="0" applyFont="1" applyFill="1" applyBorder="1" applyAlignment="1">
      <alignment horizontal="center" vertical="center" wrapText="1"/>
    </xf>
    <xf numFmtId="0" fontId="19" fillId="38" borderId="30" xfId="0" applyFont="1" applyFill="1" applyBorder="1" applyAlignment="1">
      <alignment horizontal="center" vertical="center"/>
    </xf>
    <xf numFmtId="0" fontId="12" fillId="0" borderId="48" xfId="0" applyFont="1" applyFill="1" applyBorder="1" applyAlignment="1" applyProtection="1">
      <alignment vertical="center" wrapText="1"/>
      <protection hidden="1"/>
    </xf>
    <xf numFmtId="0" fontId="12" fillId="0" borderId="49" xfId="0" applyFont="1" applyFill="1" applyBorder="1" applyAlignment="1" applyProtection="1">
      <alignment vertical="center" wrapText="1"/>
      <protection hidden="1"/>
    </xf>
    <xf numFmtId="0" fontId="12" fillId="0" borderId="50" xfId="0" applyFont="1" applyFill="1" applyBorder="1" applyAlignment="1" applyProtection="1">
      <alignment vertical="center" wrapText="1"/>
      <protection hidden="1"/>
    </xf>
    <xf numFmtId="0" fontId="28" fillId="38" borderId="64" xfId="0" applyFont="1" applyFill="1" applyBorder="1" applyAlignment="1">
      <alignment horizontal="center" vertical="center" wrapText="1"/>
    </xf>
    <xf numFmtId="0" fontId="28" fillId="38" borderId="28" xfId="0" applyFont="1" applyFill="1" applyBorder="1" applyAlignment="1">
      <alignment horizontal="center" vertical="center" wrapText="1"/>
    </xf>
    <xf numFmtId="0" fontId="19" fillId="38" borderId="2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7" fillId="0" borderId="0" xfId="0" applyFont="1" applyBorder="1" applyAlignment="1">
      <alignment horizontal="center" vertical="center" wrapText="1"/>
    </xf>
    <xf numFmtId="0" fontId="48" fillId="0" borderId="34"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34" xfId="0" applyFont="1" applyBorder="1" applyAlignment="1">
      <alignment horizontal="center" wrapText="1"/>
    </xf>
    <xf numFmtId="0" fontId="12"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8" fillId="0" borderId="16" xfId="0" applyFont="1" applyFill="1" applyBorder="1" applyAlignment="1">
      <alignment horizontal="left" vertical="center" wrapText="1" indent="2"/>
    </xf>
    <xf numFmtId="0" fontId="38"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2" fillId="0" borderId="17" xfId="0" applyFont="1" applyFill="1" applyBorder="1" applyAlignment="1">
      <alignment horizontal="left" vertical="center" wrapText="1"/>
    </xf>
    <xf numFmtId="0" fontId="28" fillId="37" borderId="64"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29" fillId="37" borderId="65" xfId="0" applyFont="1" applyFill="1" applyBorder="1" applyAlignment="1">
      <alignment horizontal="center" vertical="center" wrapText="1"/>
    </xf>
    <xf numFmtId="0" fontId="29" fillId="37" borderId="30" xfId="0" applyFont="1" applyFill="1" applyBorder="1" applyAlignment="1">
      <alignment horizontal="center" vertical="center" wrapText="1"/>
    </xf>
    <xf numFmtId="0" fontId="48"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6" fillId="0" borderId="33" xfId="0" applyFont="1" applyBorder="1" applyAlignment="1">
      <alignment horizontal="left" vertical="center" wrapText="1"/>
    </xf>
    <xf numFmtId="0" fontId="1" fillId="0" borderId="18" xfId="0" applyFont="1" applyBorder="1" applyAlignment="1">
      <alignment horizontal="left" vertical="center" wrapText="1"/>
    </xf>
    <xf numFmtId="0" fontId="11" fillId="0" borderId="33" xfId="0" applyFont="1" applyBorder="1" applyAlignment="1">
      <alignment horizontal="left" vertical="center" wrapText="1"/>
    </xf>
    <xf numFmtId="0" fontId="16" fillId="0" borderId="18" xfId="0" applyFont="1" applyBorder="1" applyAlignment="1">
      <alignment horizontal="left" vertical="center" wrapText="1"/>
    </xf>
    <xf numFmtId="0" fontId="16" fillId="44" borderId="69" xfId="0" applyFont="1" applyFill="1" applyBorder="1" applyAlignment="1">
      <alignment horizontal="left" vertical="center"/>
    </xf>
    <xf numFmtId="0" fontId="1" fillId="0" borderId="69" xfId="0" applyFont="1" applyBorder="1" applyAlignment="1">
      <alignment vertical="center"/>
    </xf>
    <xf numFmtId="0" fontId="11"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8" fillId="37" borderId="65" xfId="0" applyNumberFormat="1" applyFont="1" applyFill="1" applyBorder="1" applyAlignment="1">
      <alignment horizontal="center" vertical="center" wrapText="1"/>
    </xf>
    <xf numFmtId="49" fontId="28" fillId="37" borderId="30" xfId="0" applyNumberFormat="1" applyFont="1" applyFill="1" applyBorder="1" applyAlignment="1">
      <alignment horizontal="center"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wrapText="1"/>
    </xf>
    <xf numFmtId="0" fontId="16" fillId="44" borderId="71" xfId="0" applyFont="1" applyFill="1" applyBorder="1" applyAlignment="1">
      <alignment horizontal="left" vertical="center"/>
    </xf>
    <xf numFmtId="0" fontId="49" fillId="44" borderId="71" xfId="0" applyFont="1" applyFill="1" applyBorder="1" applyAlignment="1">
      <alignment vertical="center"/>
    </xf>
    <xf numFmtId="0" fontId="1" fillId="0" borderId="71" xfId="0" applyFont="1" applyBorder="1" applyAlignment="1">
      <alignment vertical="center"/>
    </xf>
    <xf numFmtId="0" fontId="16" fillId="33" borderId="48" xfId="0" applyFont="1" applyFill="1" applyBorder="1" applyAlignment="1" applyProtection="1">
      <alignment vertical="center" wrapText="1"/>
      <protection hidden="1"/>
    </xf>
    <xf numFmtId="0" fontId="16"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4" fillId="36" borderId="67"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48" fillId="0" borderId="0" xfId="0" applyFont="1" applyAlignment="1">
      <alignment wrapText="1"/>
    </xf>
    <xf numFmtId="0" fontId="14" fillId="0" borderId="0" xfId="0" applyFont="1" applyFill="1" applyBorder="1" applyAlignment="1">
      <alignment horizontal="center" vertical="center" wrapText="1"/>
    </xf>
    <xf numFmtId="0" fontId="0" fillId="0" borderId="0" xfId="0" applyFont="1" applyAlignment="1">
      <alignment vertical="center" wrapText="1"/>
    </xf>
    <xf numFmtId="0" fontId="28" fillId="37" borderId="29" xfId="0" applyFont="1" applyFill="1" applyBorder="1" applyAlignment="1">
      <alignment horizontal="center" vertical="center" wrapText="1"/>
    </xf>
    <xf numFmtId="0" fontId="1" fillId="0" borderId="72" xfId="0" applyFont="1" applyBorder="1" applyAlignment="1">
      <alignment/>
    </xf>
    <xf numFmtId="0" fontId="1" fillId="0" borderId="23" xfId="0" applyFont="1" applyFill="1" applyBorder="1" applyAlignment="1" applyProtection="1">
      <alignment horizontal="left" vertical="center" wrapText="1"/>
      <protection hidden="1"/>
    </xf>
    <xf numFmtId="0" fontId="14" fillId="43" borderId="11" xfId="0" applyFont="1" applyFill="1" applyBorder="1" applyAlignment="1">
      <alignment horizontal="left" vertical="center" shrinkToFit="1"/>
    </xf>
    <xf numFmtId="0" fontId="15" fillId="43" borderId="12" xfId="0" applyFont="1" applyFill="1" applyBorder="1" applyAlignment="1">
      <alignment horizontal="left" vertical="center" shrinkToFit="1"/>
    </xf>
    <xf numFmtId="0" fontId="15" fillId="43" borderId="68" xfId="0" applyFont="1" applyFill="1" applyBorder="1" applyAlignment="1">
      <alignment horizontal="left" vertical="center" shrinkToFit="1"/>
    </xf>
    <xf numFmtId="0" fontId="31"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4" fillId="43" borderId="73" xfId="0" applyFont="1" applyFill="1" applyBorder="1" applyAlignment="1">
      <alignment horizontal="left" vertical="center" shrinkToFit="1"/>
    </xf>
    <xf numFmtId="0" fontId="15" fillId="43" borderId="74" xfId="0" applyFont="1" applyFill="1" applyBorder="1" applyAlignment="1">
      <alignment horizontal="left" vertical="center" shrinkToFit="1"/>
    </xf>
    <xf numFmtId="0" fontId="15" fillId="43" borderId="75" xfId="0" applyFont="1" applyFill="1" applyBorder="1" applyAlignment="1">
      <alignment horizontal="left" vertical="center" shrinkToFit="1"/>
    </xf>
    <xf numFmtId="0" fontId="24" fillId="35" borderId="11" xfId="0" applyFont="1" applyFill="1" applyBorder="1" applyAlignment="1" applyProtection="1">
      <alignment horizontal="left" vertical="center" wrapText="1"/>
      <protection hidden="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0" xfId="0" applyFont="1" applyBorder="1" applyAlignment="1">
      <alignment vertical="center" wrapText="1"/>
    </xf>
    <xf numFmtId="0" fontId="15" fillId="0" borderId="54" xfId="0" applyFont="1" applyBorder="1" applyAlignment="1">
      <alignment vertical="center" wrapText="1"/>
    </xf>
    <xf numFmtId="0" fontId="15"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4" fillId="43" borderId="13" xfId="0" applyFont="1" applyFill="1" applyBorder="1" applyAlignment="1">
      <alignment horizontal="left" vertical="center" shrinkToFit="1"/>
    </xf>
    <xf numFmtId="0" fontId="15" fillId="43" borderId="0" xfId="0" applyFont="1" applyFill="1" applyBorder="1" applyAlignment="1">
      <alignment horizontal="left" vertical="center" shrinkToFit="1"/>
    </xf>
    <xf numFmtId="0" fontId="15" fillId="43" borderId="42" xfId="0" applyFont="1" applyFill="1" applyBorder="1" applyAlignment="1">
      <alignment horizontal="left" vertical="center" shrinkToFit="1"/>
    </xf>
    <xf numFmtId="0" fontId="19" fillId="37" borderId="13" xfId="0" applyFont="1" applyFill="1" applyBorder="1" applyAlignment="1" applyProtection="1">
      <alignment vertical="center" wrapText="1"/>
      <protection hidden="1"/>
    </xf>
    <xf numFmtId="0" fontId="19" fillId="37" borderId="0" xfId="0" applyFont="1" applyFill="1" applyBorder="1" applyAlignment="1" applyProtection="1">
      <alignment vertical="center" wrapText="1"/>
      <protection hidden="1"/>
    </xf>
    <xf numFmtId="0" fontId="19" fillId="37" borderId="42" xfId="0" applyFont="1" applyFill="1" applyBorder="1" applyAlignment="1" applyProtection="1">
      <alignment vertical="center" wrapText="1"/>
      <protection hidden="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2017</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189512.08</v>
      </c>
      <c r="I3" s="31">
        <f>ABS(ROUND(J3,0)-J3)+ABS(ROUND(K3,0)-K3)</f>
        <v>0</v>
      </c>
      <c r="J3" s="31">
        <f>Bilanca!I10</f>
        <v>3124894</v>
      </c>
      <c r="K3" s="31">
        <f>Bilanca!J10</f>
        <v>3175355</v>
      </c>
    </row>
    <row r="4" spans="1:11" ht="12.75">
      <c r="A4" s="4" t="s">
        <v>1088</v>
      </c>
      <c r="B4" s="29" t="s">
        <v>1888</v>
      </c>
      <c r="D4" s="4" t="s">
        <v>1521</v>
      </c>
      <c r="E4" s="4">
        <v>1</v>
      </c>
      <c r="F4" s="4">
        <f>Bilanca!G11</f>
        <v>3</v>
      </c>
      <c r="G4" s="4">
        <f>IF(Bilanca!H11=0,"",Bilanca!H11)</f>
      </c>
      <c r="H4" s="30">
        <f>J4/100*F4+2*K4/100*F4</f>
        <v>408.51</v>
      </c>
      <c r="I4" s="31">
        <f>ABS(ROUND(J4,0)-J4)+ABS(ROUND(K4,0)-K4)</f>
        <v>0</v>
      </c>
      <c r="J4" s="31">
        <f>Bilanca!I11</f>
        <v>641</v>
      </c>
      <c r="K4" s="31">
        <f>Bilanca!J11</f>
        <v>6488</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01331981</v>
      </c>
      <c r="D6" s="4" t="s">
        <v>1521</v>
      </c>
      <c r="E6" s="4">
        <v>1</v>
      </c>
      <c r="F6" s="4">
        <f>Bilanca!G13</f>
        <v>5</v>
      </c>
      <c r="G6" s="4">
        <f>IF(Bilanca!H13=0,"",Bilanca!H13)</f>
      </c>
      <c r="H6" s="30">
        <f aca="true" t="shared" si="0" ref="H6:H45">J6/100*F6+2*K6/100*F6</f>
        <v>680.8499999999999</v>
      </c>
      <c r="I6" s="31">
        <f aca="true" t="shared" si="1" ref="I6:I45">ABS(ROUND(J6,0)-J6)+ABS(ROUND(K6,0)-K6)</f>
        <v>0</v>
      </c>
      <c r="J6" s="31">
        <f>Bilanca!I13</f>
        <v>641</v>
      </c>
      <c r="K6" s="31">
        <f>Bilanca!J13</f>
        <v>6488</v>
      </c>
    </row>
    <row r="7" spans="1:11" ht="12.75">
      <c r="A7" s="4" t="s">
        <v>2353</v>
      </c>
      <c r="B7" s="29" t="str">
        <f>RefStr!M27</f>
        <v>070048488</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61539263602</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REDEA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40000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ČAKOVEC</v>
      </c>
      <c r="D11" s="4" t="s">
        <v>1521</v>
      </c>
      <c r="E11" s="4">
        <v>1</v>
      </c>
      <c r="F11" s="4">
        <f>Bilanca!G18</f>
        <v>10</v>
      </c>
      <c r="G11" s="4">
        <f>IF(Bilanca!H18=0,"",Bilanca!H18)</f>
      </c>
      <c r="H11" s="30">
        <f t="shared" si="0"/>
        <v>15223.4</v>
      </c>
      <c r="I11" s="31">
        <f t="shared" si="1"/>
        <v>0</v>
      </c>
      <c r="J11" s="31">
        <f>Bilanca!I18</f>
        <v>21002</v>
      </c>
      <c r="K11" s="31">
        <f>Bilanca!J18</f>
        <v>65616</v>
      </c>
    </row>
    <row r="12" spans="1:11" ht="12.75">
      <c r="A12" s="4" t="s">
        <v>2357</v>
      </c>
      <c r="B12" s="29" t="str">
        <f>TRIM(RefStr!C33)</f>
        <v>Bana Josipa Jelačića 22</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redea@redea.hr</v>
      </c>
      <c r="D13" s="4" t="s">
        <v>1521</v>
      </c>
      <c r="E13" s="4">
        <v>1</v>
      </c>
      <c r="F13" s="4">
        <f>Bilanca!G20</f>
        <v>12</v>
      </c>
      <c r="G13" s="4">
        <f>IF(Bilanca!H20=0,"",Bilanca!H20)</f>
      </c>
      <c r="H13" s="30">
        <f t="shared" si="0"/>
        <v>0</v>
      </c>
      <c r="I13" s="31">
        <f t="shared" si="1"/>
        <v>0</v>
      </c>
      <c r="J13" s="31">
        <f>Bilanca!I20</f>
        <v>0</v>
      </c>
      <c r="K13" s="31">
        <f>Bilanca!J20</f>
        <v>0</v>
      </c>
    </row>
    <row r="14" spans="1:11" ht="12.75">
      <c r="A14" s="4" t="s">
        <v>1194</v>
      </c>
      <c r="B14" s="29" t="str">
        <f>TRIM(RefStr!C37)</f>
        <v>www.redea.hr</v>
      </c>
      <c r="D14" s="4" t="s">
        <v>1521</v>
      </c>
      <c r="E14" s="4">
        <v>1</v>
      </c>
      <c r="F14" s="4">
        <f>Bilanca!G21</f>
        <v>13</v>
      </c>
      <c r="G14" s="4">
        <f>IF(Bilanca!H21=0,"",Bilanca!H21)</f>
      </c>
      <c r="H14" s="30">
        <f t="shared" si="0"/>
        <v>0</v>
      </c>
      <c r="I14" s="31">
        <f t="shared" si="1"/>
        <v>0</v>
      </c>
      <c r="J14" s="31">
        <f>Bilanca!I21</f>
        <v>0</v>
      </c>
      <c r="K14" s="31">
        <f>Bilanca!J21</f>
        <v>0</v>
      </c>
    </row>
    <row r="15" spans="1:11" ht="12.75">
      <c r="A15" s="4" t="s">
        <v>2360</v>
      </c>
      <c r="B15" s="29" t="str">
        <f>TEXT(RefStr!J39,"00")</f>
        <v>20</v>
      </c>
      <c r="D15" s="4" t="s">
        <v>1521</v>
      </c>
      <c r="E15" s="4">
        <v>1</v>
      </c>
      <c r="F15" s="4">
        <f>Bilanca!G22</f>
        <v>14</v>
      </c>
      <c r="G15" s="4">
        <f>IF(Bilanca!H22=0,"",Bilanca!H22)</f>
      </c>
      <c r="H15" s="30">
        <f t="shared" si="0"/>
        <v>21312.76</v>
      </c>
      <c r="I15" s="31">
        <f t="shared" si="1"/>
        <v>0</v>
      </c>
      <c r="J15" s="31">
        <f>Bilanca!I22</f>
        <v>21002</v>
      </c>
      <c r="K15" s="31">
        <f>Bilanca!J22</f>
        <v>65616</v>
      </c>
    </row>
    <row r="16" spans="1:11" ht="12.75">
      <c r="A16" s="4" t="s">
        <v>2359</v>
      </c>
      <c r="B16" s="29" t="str">
        <f>TEXT(RefStr!C39,"000")</f>
        <v>060</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7022</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1</v>
      </c>
      <c r="D21" s="4" t="s">
        <v>1521</v>
      </c>
      <c r="E21" s="4">
        <v>1</v>
      </c>
      <c r="F21" s="4">
        <f>Bilanca!G28</f>
        <v>20</v>
      </c>
      <c r="G21" s="4">
        <f>IF(Bilanca!H28=0,"",Bilanca!H28)</f>
      </c>
      <c r="H21" s="30">
        <f t="shared" si="0"/>
        <v>1792140</v>
      </c>
      <c r="I21" s="31">
        <f t="shared" si="1"/>
        <v>0</v>
      </c>
      <c r="J21" s="31">
        <f>Bilanca!I28</f>
        <v>2986900</v>
      </c>
      <c r="K21" s="31">
        <f>Bilanca!J28</f>
        <v>2986900</v>
      </c>
    </row>
    <row r="22" spans="1:11" ht="12.75">
      <c r="A22" s="4" t="s">
        <v>1199</v>
      </c>
      <c r="B22" s="29">
        <f>RefStr!C52</f>
        <v>11</v>
      </c>
      <c r="D22" s="4" t="s">
        <v>1521</v>
      </c>
      <c r="E22" s="4">
        <v>1</v>
      </c>
      <c r="F22" s="4">
        <f>Bilanca!G29</f>
        <v>21</v>
      </c>
      <c r="G22" s="4">
        <f>IF(Bilanca!H29=0,"",Bilanca!H29)</f>
      </c>
      <c r="H22" s="30">
        <f t="shared" si="0"/>
        <v>675171</v>
      </c>
      <c r="I22" s="31">
        <f t="shared" si="1"/>
        <v>0</v>
      </c>
      <c r="J22" s="31">
        <f>Bilanca!I29</f>
        <v>1071700</v>
      </c>
      <c r="K22" s="31">
        <f>Bilanca!J29</f>
        <v>1071700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17</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17</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14</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16</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1608768</v>
      </c>
      <c r="I29" s="31">
        <f t="shared" si="1"/>
        <v>0</v>
      </c>
      <c r="J29" s="31">
        <f>Bilanca!I36</f>
        <v>1915200</v>
      </c>
      <c r="K29" s="31">
        <f>Bilanca!J36</f>
        <v>1915200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108206.43</v>
      </c>
      <c r="I32" s="31">
        <f t="shared" si="1"/>
        <v>0</v>
      </c>
      <c r="J32" s="31">
        <f>Bilanca!I39</f>
        <v>116351</v>
      </c>
      <c r="K32" s="31">
        <f>Bilanca!J39</f>
        <v>116351</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122168.54999999999</v>
      </c>
      <c r="I36" s="31">
        <f t="shared" si="1"/>
        <v>0</v>
      </c>
      <c r="J36" s="31">
        <f>Bilanca!I43</f>
        <v>116351</v>
      </c>
      <c r="K36" s="31">
        <f>Bilanca!J43</f>
        <v>116351</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2628557.7</v>
      </c>
      <c r="I38" s="31">
        <f t="shared" si="1"/>
        <v>0</v>
      </c>
      <c r="J38" s="31">
        <f>Bilanca!I45</f>
        <v>1127318</v>
      </c>
      <c r="K38" s="31">
        <f>Bilanca!J45</f>
        <v>2988446</v>
      </c>
    </row>
    <row r="39" spans="1:11" ht="12.75">
      <c r="A39" s="4" t="s">
        <v>1216</v>
      </c>
      <c r="B39" s="29" t="str">
        <f>RefStr!C68</f>
        <v>Nada Kanižaj</v>
      </c>
      <c r="D39" s="4" t="s">
        <v>1521</v>
      </c>
      <c r="E39" s="4">
        <v>1</v>
      </c>
      <c r="F39" s="4">
        <f>Bilanca!G46</f>
        <v>38</v>
      </c>
      <c r="G39" s="4">
        <f>IF(Bilanca!H46=0,"",Bilanca!H46)</f>
      </c>
      <c r="H39" s="30">
        <f t="shared" si="0"/>
        <v>0</v>
      </c>
      <c r="I39" s="31">
        <f t="shared" si="1"/>
        <v>0</v>
      </c>
      <c r="J39" s="31">
        <f>Bilanca!I46</f>
        <v>0</v>
      </c>
      <c r="K39" s="31">
        <f>Bilanca!J46</f>
        <v>0</v>
      </c>
    </row>
    <row r="40" spans="1:11" ht="12.75">
      <c r="A40" s="4" t="s">
        <v>1217</v>
      </c>
      <c r="B40" s="29" t="str">
        <f>TRIM(RefStr!C70)</f>
        <v>040/364-037</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rin-commerce@ck.t-com.hr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POLANEC MARINOVIĆ SANDRA</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20170101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20171231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1516669.22</v>
      </c>
      <c r="I47" s="31">
        <f t="shared" si="3"/>
        <v>0</v>
      </c>
      <c r="J47" s="31">
        <f>Bilanca!I54</f>
        <v>253583</v>
      </c>
      <c r="K47" s="31">
        <f>Bilanca!J54</f>
        <v>1521762</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95585.76999999999</v>
      </c>
      <c r="I50" s="31">
        <f t="shared" si="3"/>
        <v>0</v>
      </c>
      <c r="J50" s="31">
        <f>Bilanca!I57</f>
        <v>124817</v>
      </c>
      <c r="K50" s="31">
        <f>Bilanca!J57</f>
        <v>35128</v>
      </c>
    </row>
    <row r="51" spans="1:11" ht="12.75">
      <c r="A51" s="4" t="s">
        <v>288</v>
      </c>
      <c r="B51" s="29" t="str">
        <f>RefStr!I60</f>
        <v>NE</v>
      </c>
      <c r="D51" s="4" t="s">
        <v>1521</v>
      </c>
      <c r="E51" s="4">
        <v>1</v>
      </c>
      <c r="F51" s="4">
        <f>Bilanca!G58</f>
        <v>50</v>
      </c>
      <c r="G51" s="4">
        <f>IF(Bilanca!H58=0,"",Bilanca!H58)</f>
      </c>
      <c r="H51" s="30">
        <f t="shared" si="2"/>
        <v>929.5</v>
      </c>
      <c r="I51" s="31">
        <f t="shared" si="3"/>
        <v>0</v>
      </c>
      <c r="J51" s="31">
        <f>Bilanca!I58</f>
        <v>1859</v>
      </c>
      <c r="K51" s="31">
        <f>Bilanca!J58</f>
        <v>0</v>
      </c>
    </row>
    <row r="52" spans="1:11" ht="12.75">
      <c r="A52" s="4" t="s">
        <v>1219</v>
      </c>
      <c r="B52" s="29" t="s">
        <v>2619</v>
      </c>
      <c r="D52" s="4" t="s">
        <v>1521</v>
      </c>
      <c r="E52" s="4">
        <v>1</v>
      </c>
      <c r="F52" s="4">
        <f>Bilanca!G59</f>
        <v>51</v>
      </c>
      <c r="G52" s="4">
        <f>IF(Bilanca!H59=0,"",Bilanca!H59)</f>
      </c>
      <c r="H52" s="30">
        <f t="shared" si="2"/>
        <v>10249.98</v>
      </c>
      <c r="I52" s="31">
        <f t="shared" si="3"/>
        <v>0</v>
      </c>
      <c r="J52" s="31">
        <f>Bilanca!I59</f>
        <v>7570</v>
      </c>
      <c r="K52" s="31">
        <f>Bilanca!J59</f>
        <v>6264</v>
      </c>
    </row>
    <row r="53" spans="1:11" ht="12.75">
      <c r="A53" s="4" t="s">
        <v>532</v>
      </c>
      <c r="B53" s="29" t="str">
        <f>RefStr!I56</f>
        <v>DA</v>
      </c>
      <c r="D53" s="4" t="s">
        <v>1521</v>
      </c>
      <c r="E53" s="4">
        <v>1</v>
      </c>
      <c r="F53" s="4">
        <f>Bilanca!G60</f>
        <v>52</v>
      </c>
      <c r="G53" s="4">
        <f>IF(Bilanca!H60=0,"",Bilanca!H60)</f>
      </c>
      <c r="H53" s="30">
        <f t="shared" si="2"/>
        <v>1601640.04</v>
      </c>
      <c r="I53" s="31">
        <f t="shared" si="3"/>
        <v>0</v>
      </c>
      <c r="J53" s="31">
        <f>Bilanca!I60</f>
        <v>119337</v>
      </c>
      <c r="K53" s="31">
        <f>Bilanca!J60</f>
        <v>1480370</v>
      </c>
    </row>
    <row r="54" spans="1:11" ht="12.75">
      <c r="A54" s="4" t="s">
        <v>533</v>
      </c>
      <c r="B54" s="29" t="str">
        <f>RefStr!I62</f>
        <v>NE</v>
      </c>
      <c r="D54" s="4" t="s">
        <v>1521</v>
      </c>
      <c r="E54" s="4">
        <v>1</v>
      </c>
      <c r="F54" s="4">
        <f>Bilanca!G61</f>
        <v>53</v>
      </c>
      <c r="G54" s="4">
        <f>IF(Bilanca!H61=0,"",Bilanca!H61)</f>
      </c>
      <c r="H54" s="30">
        <f t="shared" si="2"/>
        <v>31061.179999999997</v>
      </c>
      <c r="I54" s="31">
        <f t="shared" si="3"/>
        <v>0</v>
      </c>
      <c r="J54" s="31">
        <f>Bilanca!I61</f>
        <v>58606</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827692166.7900001</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35749.659999999996</v>
      </c>
      <c r="I62" s="31">
        <f t="shared" si="3"/>
        <v>0</v>
      </c>
      <c r="J62" s="31">
        <f>Bilanca!I69</f>
        <v>58606</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2361553.1100000003</v>
      </c>
      <c r="I64" s="31">
        <f t="shared" si="3"/>
        <v>0</v>
      </c>
      <c r="J64" s="31">
        <f>Bilanca!I71</f>
        <v>815129</v>
      </c>
      <c r="K64" s="31">
        <f>Bilanca!J71</f>
        <v>1466684</v>
      </c>
    </row>
    <row r="65" spans="1:11" ht="12.75">
      <c r="A65" s="4" t="s">
        <v>687</v>
      </c>
      <c r="B65" s="29" t="str">
        <f>RefStr!N19</f>
        <v>HSFI</v>
      </c>
      <c r="D65" s="4" t="s">
        <v>1521</v>
      </c>
      <c r="E65" s="4">
        <v>1</v>
      </c>
      <c r="F65" s="4">
        <f>Bilanca!G72</f>
        <v>64</v>
      </c>
      <c r="G65" s="4">
        <f>IF(Bilanca!H72=0,"",Bilanca!H72)</f>
      </c>
      <c r="H65" s="30">
        <f t="shared" si="2"/>
        <v>2729.6000000000004</v>
      </c>
      <c r="I65" s="31">
        <f t="shared" si="3"/>
        <v>0</v>
      </c>
      <c r="J65" s="31">
        <f>Bilanca!I72</f>
        <v>1139</v>
      </c>
      <c r="K65" s="31">
        <f>Bilanca!J72</f>
        <v>1563</v>
      </c>
    </row>
    <row r="66" spans="1:11" ht="12.75">
      <c r="A66" s="4" t="s">
        <v>688</v>
      </c>
      <c r="B66" s="29">
        <f>RefStr!C23</f>
        <v>1</v>
      </c>
      <c r="D66" s="4" t="s">
        <v>1521</v>
      </c>
      <c r="E66" s="4">
        <v>1</v>
      </c>
      <c r="F66" s="4">
        <f>Bilanca!G73</f>
        <v>65</v>
      </c>
      <c r="G66" s="4">
        <f>IF(Bilanca!H73=0,"",Bilanca!H73)</f>
      </c>
      <c r="H66" s="30">
        <f t="shared" si="2"/>
        <v>10779651.35</v>
      </c>
      <c r="I66" s="31">
        <f t="shared" si="3"/>
        <v>0</v>
      </c>
      <c r="J66" s="31">
        <f>Bilanca!I73</f>
        <v>4253351</v>
      </c>
      <c r="K66" s="31">
        <f>Bilanca!J73</f>
        <v>6165364</v>
      </c>
    </row>
    <row r="67" spans="1:11" ht="12.75">
      <c r="A67" s="4" t="s">
        <v>689</v>
      </c>
      <c r="B67" s="29" t="str">
        <f>RefStr!L35</f>
        <v>040/395-560</v>
      </c>
      <c r="D67" s="4" t="s">
        <v>1521</v>
      </c>
      <c r="E67" s="4">
        <v>1</v>
      </c>
      <c r="F67" s="4">
        <f>Bilanca!G74</f>
        <v>66</v>
      </c>
      <c r="G67" s="4">
        <f>IF(Bilanca!H74=0,"",Bilanca!H74)</f>
      </c>
      <c r="H67" s="30">
        <f t="shared" si="2"/>
        <v>27179.460000000003</v>
      </c>
      <c r="I67" s="31">
        <f t="shared" si="3"/>
        <v>0</v>
      </c>
      <c r="J67" s="31">
        <f>Bilanca!I74</f>
        <v>10327</v>
      </c>
      <c r="K67" s="31">
        <f>Bilanca!J74</f>
        <v>15427</v>
      </c>
    </row>
    <row r="68" spans="1:11" ht="12.75">
      <c r="A68" s="4" t="s">
        <v>690</v>
      </c>
      <c r="B68" s="29">
        <f>RefStr!C44</f>
        <v>1</v>
      </c>
      <c r="D68" s="4" t="s">
        <v>1521</v>
      </c>
      <c r="E68" s="4">
        <v>1</v>
      </c>
      <c r="F68" s="4">
        <f>Bilanca!G76</f>
        <v>67</v>
      </c>
      <c r="G68" s="4">
        <f>IF(Bilanca!H76=0,"",Bilanca!H76)</f>
      </c>
      <c r="H68" s="30">
        <f t="shared" si="2"/>
        <v>3113410.2699999996</v>
      </c>
      <c r="I68" s="31">
        <f t="shared" si="3"/>
        <v>0</v>
      </c>
      <c r="J68" s="31">
        <f>Bilanca!I76</f>
        <v>1326603</v>
      </c>
      <c r="K68" s="31">
        <f>Bilanca!J76</f>
        <v>1660139</v>
      </c>
    </row>
    <row r="69" spans="1:11" ht="12.75">
      <c r="A69" s="4" t="s">
        <v>691</v>
      </c>
      <c r="B69" s="29">
        <f>RefStr!M46</f>
        <v>0</v>
      </c>
      <c r="D69" s="4" t="s">
        <v>1521</v>
      </c>
      <c r="E69" s="4">
        <v>1</v>
      </c>
      <c r="F69" s="4">
        <f>Bilanca!G77</f>
        <v>68</v>
      </c>
      <c r="G69" s="4">
        <f>IF(Bilanca!H77=0,"",Bilanca!H77)</f>
      </c>
      <c r="H69" s="30">
        <f t="shared" si="2"/>
        <v>1770720</v>
      </c>
      <c r="I69" s="31">
        <f t="shared" si="3"/>
        <v>0</v>
      </c>
      <c r="J69" s="31">
        <f>Bilanca!I77</f>
        <v>868000</v>
      </c>
      <c r="K69" s="31">
        <f>Bilanca!J77</f>
        <v>868000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1890</v>
      </c>
      <c r="I71" s="31">
        <f t="shared" si="3"/>
        <v>0</v>
      </c>
      <c r="J71" s="31">
        <f>Bilanca!I79</f>
        <v>900</v>
      </c>
      <c r="K71" s="31">
        <f>Bilanca!J79</f>
        <v>900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2025</v>
      </c>
      <c r="I76" s="31">
        <f t="shared" si="3"/>
        <v>0</v>
      </c>
      <c r="J76" s="31">
        <f>Bilanca!I84</f>
        <v>900</v>
      </c>
      <c r="K76" s="31">
        <f>Bilanca!J84</f>
        <v>900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1092766.95</v>
      </c>
      <c r="I82" s="31">
        <f t="shared" si="3"/>
        <v>0</v>
      </c>
      <c r="J82" s="31">
        <f>Bilanca!I90</f>
        <v>433687</v>
      </c>
      <c r="K82" s="31">
        <f>Bilanca!J90</f>
        <v>457704</v>
      </c>
    </row>
    <row r="83" spans="4:11" ht="12.75">
      <c r="D83" s="4" t="s">
        <v>1521</v>
      </c>
      <c r="E83" s="4">
        <v>1</v>
      </c>
      <c r="F83" s="4">
        <f>Bilanca!G91</f>
        <v>82</v>
      </c>
      <c r="G83" s="4">
        <f>IF(Bilanca!H91=0,"",Bilanca!H91)</f>
      </c>
      <c r="H83" s="30">
        <f t="shared" si="2"/>
        <v>1106257.9</v>
      </c>
      <c r="I83" s="31">
        <f t="shared" si="3"/>
        <v>0</v>
      </c>
      <c r="J83" s="31">
        <f>Bilanca!I91</f>
        <v>433687</v>
      </c>
      <c r="K83" s="31">
        <f>Bilanca!J91</f>
        <v>457704</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580512.2399999999</v>
      </c>
      <c r="I85" s="31">
        <f>ABS(ROUND(J85,0)-J85)+ABS(ROUND(K85,0)-K85)</f>
        <v>0</v>
      </c>
      <c r="J85" s="31">
        <f>Bilanca!I93</f>
        <v>24016</v>
      </c>
      <c r="K85" s="31">
        <f>Bilanca!J93</f>
        <v>333535</v>
      </c>
    </row>
    <row r="86" spans="4:11" ht="12.75">
      <c r="D86" s="4" t="s">
        <v>1521</v>
      </c>
      <c r="E86" s="4">
        <v>1</v>
      </c>
      <c r="F86" s="4">
        <f>Bilanca!G94</f>
        <v>85</v>
      </c>
      <c r="G86" s="4">
        <f>IF(Bilanca!H94=0,"",Bilanca!H94)</f>
      </c>
      <c r="H86" s="30">
        <f>J86/100*F86+2*K86/100*F86</f>
        <v>587423.1</v>
      </c>
      <c r="I86" s="31">
        <f>ABS(ROUND(J86,0)-J86)+ABS(ROUND(K86,0)-K86)</f>
        <v>0</v>
      </c>
      <c r="J86" s="31">
        <f>Bilanca!I94</f>
        <v>24016</v>
      </c>
      <c r="K86" s="31">
        <f>Bilanca!J94</f>
        <v>333535</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5789920.35</v>
      </c>
      <c r="I96" s="31">
        <f t="shared" si="5"/>
        <v>0</v>
      </c>
      <c r="J96" s="31">
        <f>Bilanca!I104</f>
        <v>2031551</v>
      </c>
      <c r="K96" s="31">
        <f>Bilanca!J104</f>
        <v>2031551</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6399385.649999999</v>
      </c>
      <c r="I106" s="31">
        <f t="shared" si="5"/>
        <v>0</v>
      </c>
      <c r="J106" s="31">
        <f>Bilanca!I114</f>
        <v>2031551</v>
      </c>
      <c r="K106" s="31">
        <f>Bilanca!J114</f>
        <v>2031551</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1925603.03</v>
      </c>
      <c r="I108" s="31">
        <f t="shared" si="5"/>
        <v>0</v>
      </c>
      <c r="J108" s="31">
        <f>Bilanca!I116</f>
        <v>301543</v>
      </c>
      <c r="K108" s="31">
        <f>Bilanca!J116</f>
        <v>749043</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784000</v>
      </c>
      <c r="I113" s="31">
        <f t="shared" si="5"/>
        <v>0</v>
      </c>
      <c r="J113" s="31">
        <f>Bilanca!I121</f>
        <v>0</v>
      </c>
      <c r="K113" s="31">
        <f>Bilanca!J121</f>
        <v>350000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319125</v>
      </c>
      <c r="I116" s="31">
        <f t="shared" si="5"/>
        <v>0</v>
      </c>
      <c r="J116" s="31">
        <f>Bilanca!I124</f>
        <v>71402</v>
      </c>
      <c r="K116" s="31">
        <f>Bilanca!J124</f>
        <v>103049</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467326.08</v>
      </c>
      <c r="I118" s="31">
        <f t="shared" si="5"/>
        <v>0</v>
      </c>
      <c r="J118" s="31">
        <f>Bilanca!I126</f>
        <v>114346</v>
      </c>
      <c r="K118" s="31">
        <f>Bilanca!J126</f>
        <v>142539</v>
      </c>
    </row>
    <row r="119" spans="4:11" ht="12.75">
      <c r="D119" s="4" t="s">
        <v>1521</v>
      </c>
      <c r="E119" s="4">
        <v>1</v>
      </c>
      <c r="F119" s="4">
        <f>Bilanca!G127</f>
        <v>118</v>
      </c>
      <c r="G119" s="4">
        <f>IF(Bilanca!H127=0,"",Bilanca!H127)</f>
      </c>
      <c r="H119" s="30">
        <f t="shared" si="4"/>
        <v>490671.13999999996</v>
      </c>
      <c r="I119" s="31">
        <f t="shared" si="5"/>
        <v>0</v>
      </c>
      <c r="J119" s="31">
        <f>Bilanca!I127</f>
        <v>113501</v>
      </c>
      <c r="K119" s="31">
        <f>Bilanca!J127</f>
        <v>151161</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8327.220000000001</v>
      </c>
      <c r="I122" s="31">
        <f t="shared" si="5"/>
        <v>0</v>
      </c>
      <c r="J122" s="31">
        <f>Bilanca!I130</f>
        <v>2294</v>
      </c>
      <c r="K122" s="31">
        <f>Bilanca!J130</f>
        <v>2294</v>
      </c>
    </row>
    <row r="123" spans="4:11" ht="12.75">
      <c r="D123" s="4" t="s">
        <v>1521</v>
      </c>
      <c r="E123" s="4">
        <v>1</v>
      </c>
      <c r="F123" s="4">
        <f>Bilanca!G131</f>
        <v>122</v>
      </c>
      <c r="G123" s="4">
        <f>IF(Bilanca!H131=0,"",Bilanca!H131)</f>
      </c>
      <c r="H123" s="30">
        <f t="shared" si="4"/>
        <v>4932357.5200000005</v>
      </c>
      <c r="I123" s="31">
        <f t="shared" si="5"/>
        <v>0</v>
      </c>
      <c r="J123" s="31">
        <f>Bilanca!I131</f>
        <v>593654</v>
      </c>
      <c r="K123" s="31">
        <f>Bilanca!J131</f>
        <v>1724631</v>
      </c>
    </row>
    <row r="124" spans="4:11" ht="12.75">
      <c r="D124" s="4" t="s">
        <v>1521</v>
      </c>
      <c r="E124" s="4">
        <v>1</v>
      </c>
      <c r="F124" s="4">
        <f>Bilanca!G132</f>
        <v>123</v>
      </c>
      <c r="G124" s="4">
        <f>IF(Bilanca!H132=0,"",Bilanca!H132)</f>
      </c>
      <c r="H124" s="30">
        <f t="shared" si="4"/>
        <v>20398417.17</v>
      </c>
      <c r="I124" s="31">
        <f t="shared" si="5"/>
        <v>0</v>
      </c>
      <c r="J124" s="31">
        <f>Bilanca!I132</f>
        <v>4253351</v>
      </c>
      <c r="K124" s="31">
        <f>Bilanca!J132</f>
        <v>6165364</v>
      </c>
    </row>
    <row r="125" spans="4:11" ht="12.75">
      <c r="D125" s="4" t="s">
        <v>1521</v>
      </c>
      <c r="E125" s="4">
        <v>1</v>
      </c>
      <c r="F125" s="4">
        <f>Bilanca!G133</f>
        <v>124</v>
      </c>
      <c r="G125" s="4">
        <f>IF(Bilanca!H133=0,"",Bilanca!H133)</f>
      </c>
      <c r="H125" s="30">
        <f t="shared" si="4"/>
        <v>51064.44</v>
      </c>
      <c r="I125" s="31">
        <f t="shared" si="5"/>
        <v>0</v>
      </c>
      <c r="J125" s="31">
        <f>Bilanca!I133</f>
        <v>10327</v>
      </c>
      <c r="K125" s="31">
        <f>Bilanca!J133</f>
        <v>15427</v>
      </c>
    </row>
    <row r="126" spans="4:11" ht="12.75">
      <c r="D126" s="4" t="s">
        <v>541</v>
      </c>
      <c r="E126" s="4">
        <v>2</v>
      </c>
      <c r="F126" s="4">
        <f>RDG!G8</f>
        <v>125</v>
      </c>
      <c r="G126" s="4">
        <f>IF(RDG!H8=0,"",RDG!H8)</f>
      </c>
      <c r="H126" s="30">
        <f t="shared" si="4"/>
        <v>12466477.5</v>
      </c>
      <c r="I126" s="4">
        <f t="shared" si="5"/>
        <v>0</v>
      </c>
      <c r="J126" s="31">
        <f>RDG!I8</f>
        <v>2393796</v>
      </c>
      <c r="K126" s="31">
        <f>RDG!J8</f>
        <v>3789693</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6841036.609999999</v>
      </c>
      <c r="I128" s="4">
        <f aca="true" t="shared" si="7" ref="I128:I190">ABS(ROUND(J128,0)-J128)+ABS(ROUND(K128,0)-K128)</f>
        <v>0</v>
      </c>
      <c r="J128" s="31">
        <f>RDG!I10</f>
        <v>1987601</v>
      </c>
      <c r="K128" s="31">
        <f>RDG!J10</f>
        <v>1699521</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5962500.7</v>
      </c>
      <c r="I131" s="4">
        <f t="shared" si="7"/>
        <v>0</v>
      </c>
      <c r="J131" s="31">
        <f>RDG!I13</f>
        <v>406195</v>
      </c>
      <c r="K131" s="31">
        <f>RDG!J13</f>
        <v>2090172</v>
      </c>
    </row>
    <row r="132" spans="4:11" ht="12.75">
      <c r="D132" s="4" t="s">
        <v>541</v>
      </c>
      <c r="E132" s="4">
        <v>2</v>
      </c>
      <c r="F132" s="4">
        <f>RDG!G14</f>
        <v>131</v>
      </c>
      <c r="G132" s="4">
        <f>IF(RDG!H14=0,"",RDG!H14)</f>
      </c>
      <c r="H132" s="30">
        <f t="shared" si="6"/>
        <v>12399685.79</v>
      </c>
      <c r="I132" s="4">
        <f t="shared" si="7"/>
        <v>0</v>
      </c>
      <c r="J132" s="31">
        <f>RDG!I14</f>
        <v>2574903</v>
      </c>
      <c r="K132" s="31">
        <f>RDG!J14</f>
        <v>3445253</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2697934.2600000002</v>
      </c>
      <c r="I134" s="4">
        <f t="shared" si="7"/>
        <v>0</v>
      </c>
      <c r="J134" s="31">
        <f>RDG!I16</f>
        <v>424308</v>
      </c>
      <c r="K134" s="31">
        <f>RDG!J16</f>
        <v>802107</v>
      </c>
    </row>
    <row r="135" spans="4:11" ht="12.75">
      <c r="D135" s="4" t="s">
        <v>541</v>
      </c>
      <c r="E135" s="4">
        <v>2</v>
      </c>
      <c r="F135" s="4">
        <f>RDG!G17</f>
        <v>134</v>
      </c>
      <c r="G135" s="4">
        <f>IF(RDG!H17=0,"",RDG!H17)</f>
      </c>
      <c r="H135" s="30">
        <f t="shared" si="6"/>
        <v>405652.83999999997</v>
      </c>
      <c r="I135" s="4">
        <f t="shared" si="7"/>
        <v>0</v>
      </c>
      <c r="J135" s="31">
        <f>RDG!I17</f>
        <v>66766</v>
      </c>
      <c r="K135" s="31">
        <f>RDG!J17</f>
        <v>117980</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2347082.56</v>
      </c>
      <c r="I137" s="4">
        <f t="shared" si="7"/>
        <v>0</v>
      </c>
      <c r="J137" s="31">
        <f>RDG!I19</f>
        <v>357542</v>
      </c>
      <c r="K137" s="31">
        <f>RDG!J19</f>
        <v>684127</v>
      </c>
    </row>
    <row r="138" spans="4:11" ht="12.75">
      <c r="D138" s="4" t="s">
        <v>541</v>
      </c>
      <c r="E138" s="4">
        <v>2</v>
      </c>
      <c r="F138" s="4">
        <f>RDG!G20</f>
        <v>137</v>
      </c>
      <c r="G138" s="4">
        <f>IF(RDG!H20=0,"",RDG!H20)</f>
      </c>
      <c r="H138" s="30">
        <f t="shared" si="6"/>
        <v>8807190.219999999</v>
      </c>
      <c r="I138" s="4">
        <f t="shared" si="7"/>
        <v>0</v>
      </c>
      <c r="J138" s="31">
        <f>RDG!I20</f>
        <v>1921716</v>
      </c>
      <c r="K138" s="31">
        <f>RDG!J20</f>
        <v>2253445</v>
      </c>
    </row>
    <row r="139" spans="4:11" ht="12.75">
      <c r="D139" s="4" t="s">
        <v>541</v>
      </c>
      <c r="E139" s="4">
        <v>2</v>
      </c>
      <c r="F139" s="4">
        <f>RDG!G21</f>
        <v>138</v>
      </c>
      <c r="G139" s="4">
        <f>IF(RDG!H21=0,"",RDG!H21)</f>
      </c>
      <c r="H139" s="30">
        <f t="shared" si="6"/>
        <v>5421717.78</v>
      </c>
      <c r="I139" s="4">
        <f t="shared" si="7"/>
        <v>0</v>
      </c>
      <c r="J139" s="31">
        <f>RDG!I21</f>
        <v>1157695</v>
      </c>
      <c r="K139" s="31">
        <f>RDG!J21</f>
        <v>1385543</v>
      </c>
    </row>
    <row r="140" spans="4:11" ht="12.75">
      <c r="D140" s="4" t="s">
        <v>541</v>
      </c>
      <c r="E140" s="4">
        <v>2</v>
      </c>
      <c r="F140" s="4">
        <f>RDG!G22</f>
        <v>139</v>
      </c>
      <c r="G140" s="4">
        <f>IF(RDG!H22=0,"",RDG!H22)</f>
      </c>
      <c r="H140" s="30">
        <f t="shared" si="6"/>
        <v>2211909.78</v>
      </c>
      <c r="I140" s="4">
        <f t="shared" si="7"/>
        <v>0</v>
      </c>
      <c r="J140" s="31">
        <f>RDG!I22</f>
        <v>484586</v>
      </c>
      <c r="K140" s="31">
        <f>RDG!J22</f>
        <v>553358</v>
      </c>
    </row>
    <row r="141" spans="4:11" ht="12.75">
      <c r="D141" s="4" t="s">
        <v>541</v>
      </c>
      <c r="E141" s="4">
        <v>2</v>
      </c>
      <c r="F141" s="4">
        <f>RDG!G23</f>
        <v>140</v>
      </c>
      <c r="G141" s="4">
        <f>IF(RDG!H23=0,"",RDG!H23)</f>
      </c>
      <c r="H141" s="30">
        <f t="shared" si="6"/>
        <v>1271932.2000000002</v>
      </c>
      <c r="I141" s="4">
        <f t="shared" si="7"/>
        <v>0</v>
      </c>
      <c r="J141" s="31">
        <f>RDG!I23</f>
        <v>279435</v>
      </c>
      <c r="K141" s="31">
        <f>RDG!J23</f>
        <v>314544</v>
      </c>
    </row>
    <row r="142" spans="4:11" ht="12.75">
      <c r="D142" s="4" t="s">
        <v>541</v>
      </c>
      <c r="E142" s="4">
        <v>2</v>
      </c>
      <c r="F142" s="4">
        <f>RDG!G24</f>
        <v>141</v>
      </c>
      <c r="G142" s="4">
        <f>IF(RDG!H24=0,"",RDG!H24)</f>
      </c>
      <c r="H142" s="30">
        <f t="shared" si="6"/>
        <v>56941.44</v>
      </c>
      <c r="I142" s="4">
        <f t="shared" si="7"/>
        <v>0</v>
      </c>
      <c r="J142" s="31">
        <f>RDG!I24</f>
        <v>8974</v>
      </c>
      <c r="K142" s="31">
        <f>RDG!J24</f>
        <v>15705</v>
      </c>
    </row>
    <row r="143" spans="4:11" ht="12.75">
      <c r="D143" s="4" t="s">
        <v>541</v>
      </c>
      <c r="E143" s="4">
        <v>2</v>
      </c>
      <c r="F143" s="4">
        <f>RDG!G25</f>
        <v>142</v>
      </c>
      <c r="G143" s="4">
        <f>IF(RDG!H25=0,"",RDG!H25)</f>
      </c>
      <c r="H143" s="30">
        <f t="shared" si="6"/>
        <v>1325456.4000000001</v>
      </c>
      <c r="I143" s="4">
        <f t="shared" si="7"/>
        <v>0</v>
      </c>
      <c r="J143" s="31">
        <f>RDG!I25</f>
        <v>204710</v>
      </c>
      <c r="K143" s="31">
        <f>RDG!J25</f>
        <v>364355</v>
      </c>
    </row>
    <row r="144" spans="4:11" ht="12.75">
      <c r="D144" s="4" t="s">
        <v>541</v>
      </c>
      <c r="E144" s="4">
        <v>2</v>
      </c>
      <c r="F144" s="4">
        <f>RDG!G26</f>
        <v>143</v>
      </c>
      <c r="G144" s="4">
        <f>IF(RDG!H26=0,"",RDG!H26)</f>
      </c>
      <c r="H144" s="30">
        <f t="shared" si="6"/>
        <v>0</v>
      </c>
      <c r="I144" s="4">
        <f t="shared" si="7"/>
        <v>0</v>
      </c>
      <c r="J144" s="31">
        <f>RDG!I26</f>
        <v>0</v>
      </c>
      <c r="K144" s="31">
        <f>RDG!J26</f>
        <v>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0</v>
      </c>
      <c r="I146" s="4">
        <f t="shared" si="7"/>
        <v>0</v>
      </c>
      <c r="J146" s="31">
        <f>RDG!I28</f>
        <v>0</v>
      </c>
      <c r="K146" s="31">
        <f>RDG!J28</f>
        <v>0</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52749.81</v>
      </c>
      <c r="I154" s="4">
        <f t="shared" si="7"/>
        <v>0</v>
      </c>
      <c r="J154" s="31">
        <f>RDG!I36</f>
        <v>15195</v>
      </c>
      <c r="K154" s="31">
        <f>RDG!J36</f>
        <v>9641</v>
      </c>
    </row>
    <row r="155" spans="4:11" ht="12.75">
      <c r="D155" s="4" t="s">
        <v>541</v>
      </c>
      <c r="E155" s="4">
        <v>2</v>
      </c>
      <c r="F155" s="4">
        <f>RDG!G37</f>
        <v>154</v>
      </c>
      <c r="G155" s="4">
        <f>IF(RDG!H37=0,"",RDG!H37)</f>
      </c>
      <c r="H155" s="30">
        <f t="shared" si="6"/>
        <v>564679.5</v>
      </c>
      <c r="I155" s="4">
        <f t="shared" si="7"/>
        <v>0</v>
      </c>
      <c r="J155" s="31">
        <f>RDG!I37</f>
        <v>217577</v>
      </c>
      <c r="K155" s="31">
        <f>RDG!J37</f>
        <v>74549</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582412.6699999999</v>
      </c>
      <c r="I162" s="4">
        <f t="shared" si="7"/>
        <v>0</v>
      </c>
      <c r="J162" s="31">
        <f>RDG!I44</f>
        <v>217577</v>
      </c>
      <c r="K162" s="31">
        <f>RDG!J44</f>
        <v>72085</v>
      </c>
    </row>
    <row r="163" spans="4:11" ht="12.75">
      <c r="D163" s="4" t="s">
        <v>541</v>
      </c>
      <c r="E163" s="4">
        <v>2</v>
      </c>
      <c r="F163" s="4">
        <f>RDG!G45</f>
        <v>162</v>
      </c>
      <c r="G163" s="4">
        <f>IF(RDG!H45=0,"",RDG!H45)</f>
      </c>
      <c r="H163" s="30">
        <f t="shared" si="6"/>
        <v>7983.360000000001</v>
      </c>
      <c r="I163" s="4">
        <f t="shared" si="7"/>
        <v>0</v>
      </c>
      <c r="J163" s="31">
        <f>RDG!I45</f>
        <v>0</v>
      </c>
      <c r="K163" s="31">
        <f>RDG!J45</f>
        <v>2464</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16292.099999999999</v>
      </c>
      <c r="I166" s="4">
        <f t="shared" si="7"/>
        <v>0</v>
      </c>
      <c r="J166" s="31">
        <f>RDG!I48</f>
        <v>1616</v>
      </c>
      <c r="K166" s="31">
        <f>RDG!J48</f>
        <v>4129</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2756.88</v>
      </c>
      <c r="I169" s="4">
        <f t="shared" si="7"/>
        <v>0</v>
      </c>
      <c r="J169" s="31">
        <f>RDG!I51</f>
        <v>873</v>
      </c>
      <c r="K169" s="31">
        <f>RDG!J51</f>
        <v>384</v>
      </c>
    </row>
    <row r="170" spans="4:11" ht="12.75">
      <c r="D170" s="4" t="s">
        <v>541</v>
      </c>
      <c r="E170" s="4">
        <v>2</v>
      </c>
      <c r="F170" s="4">
        <f>RDG!G52</f>
        <v>169</v>
      </c>
      <c r="G170" s="4">
        <f>IF(RDG!H52=0,"",RDG!H52)</f>
      </c>
      <c r="H170" s="30">
        <f t="shared" si="6"/>
        <v>13913.77</v>
      </c>
      <c r="I170" s="4">
        <f t="shared" si="7"/>
        <v>0</v>
      </c>
      <c r="J170" s="31">
        <f>RDG!I52</f>
        <v>743</v>
      </c>
      <c r="K170" s="31">
        <f>RDG!J52</f>
        <v>3745</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18301546.89</v>
      </c>
      <c r="I178" s="4">
        <f t="shared" si="7"/>
        <v>0</v>
      </c>
      <c r="J178" s="31">
        <f>RDG!I60</f>
        <v>2611373</v>
      </c>
      <c r="K178" s="31">
        <f>RDG!J60</f>
        <v>3864242</v>
      </c>
    </row>
    <row r="179" spans="4:11" ht="12.75">
      <c r="D179" s="4" t="s">
        <v>541</v>
      </c>
      <c r="E179" s="4">
        <v>2</v>
      </c>
      <c r="F179" s="4">
        <f>RDG!G61</f>
        <v>178</v>
      </c>
      <c r="G179" s="4">
        <f>IF(RDG!H61=0,"",RDG!H61)</f>
      </c>
      <c r="H179" s="30">
        <f t="shared" si="6"/>
        <v>16866003.74</v>
      </c>
      <c r="I179" s="4">
        <f t="shared" si="7"/>
        <v>0</v>
      </c>
      <c r="J179" s="31">
        <f>RDG!I61</f>
        <v>2576519</v>
      </c>
      <c r="K179" s="31">
        <f>RDG!J61</f>
        <v>3449382</v>
      </c>
    </row>
    <row r="180" spans="4:11" ht="12.75">
      <c r="D180" s="4" t="s">
        <v>541</v>
      </c>
      <c r="E180" s="4">
        <v>2</v>
      </c>
      <c r="F180" s="4">
        <f>RDG!G62</f>
        <v>179</v>
      </c>
      <c r="G180" s="4">
        <f>IF(RDG!H62=0,"",RDG!H62)</f>
      </c>
      <c r="H180" s="30">
        <f t="shared" si="6"/>
        <v>1547587.46</v>
      </c>
      <c r="I180" s="4">
        <f t="shared" si="7"/>
        <v>0</v>
      </c>
      <c r="J180" s="31">
        <f>RDG!I62</f>
        <v>34854</v>
      </c>
      <c r="K180" s="31">
        <f>RDG!J62</f>
        <v>414860</v>
      </c>
    </row>
    <row r="181" spans="4:11" ht="12.75">
      <c r="D181" s="4" t="s">
        <v>541</v>
      </c>
      <c r="E181" s="4">
        <v>2</v>
      </c>
      <c r="F181" s="4">
        <f>RDG!G63</f>
        <v>180</v>
      </c>
      <c r="G181" s="4">
        <f>IF(RDG!H63=0,"",RDG!H63)</f>
      </c>
      <c r="H181" s="30">
        <f t="shared" si="6"/>
        <v>1556233.2000000002</v>
      </c>
      <c r="I181" s="4">
        <f t="shared" si="7"/>
        <v>0</v>
      </c>
      <c r="J181" s="31">
        <f>RDG!I63</f>
        <v>34854</v>
      </c>
      <c r="K181" s="31">
        <f>RDG!J63</f>
        <v>414860</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315748.16</v>
      </c>
      <c r="I183" s="4">
        <f t="shared" si="7"/>
        <v>0</v>
      </c>
      <c r="J183" s="31">
        <f>RDG!I65</f>
        <v>10838</v>
      </c>
      <c r="K183" s="31">
        <f>RDG!J65</f>
        <v>81325</v>
      </c>
    </row>
    <row r="184" spans="4:11" ht="12.75">
      <c r="D184" s="4" t="s">
        <v>541</v>
      </c>
      <c r="E184" s="4">
        <v>2</v>
      </c>
      <c r="F184" s="4">
        <f>RDG!G66</f>
        <v>183</v>
      </c>
      <c r="G184" s="4">
        <f>IF(RDG!H66=0,"",RDG!H66)</f>
      </c>
      <c r="H184" s="30">
        <f t="shared" si="6"/>
        <v>1264687.38</v>
      </c>
      <c r="I184" s="4">
        <f t="shared" si="7"/>
        <v>0</v>
      </c>
      <c r="J184" s="31">
        <f>RDG!I66</f>
        <v>24016</v>
      </c>
      <c r="K184" s="31">
        <f>RDG!J66</f>
        <v>333535</v>
      </c>
    </row>
    <row r="185" spans="4:11" ht="12.75">
      <c r="D185" s="4" t="s">
        <v>541</v>
      </c>
      <c r="E185" s="4">
        <v>2</v>
      </c>
      <c r="F185" s="4">
        <f>RDG!G67</f>
        <v>184</v>
      </c>
      <c r="G185" s="4">
        <f>IF(RDG!H67=0,"",RDG!H67)</f>
      </c>
      <c r="H185" s="30">
        <f t="shared" si="6"/>
        <v>1271598.24</v>
      </c>
      <c r="I185" s="4">
        <f t="shared" si="7"/>
        <v>0</v>
      </c>
      <c r="J185" s="31">
        <f>RDG!I67</f>
        <v>24016</v>
      </c>
      <c r="K185" s="31">
        <f>RDG!J67</f>
        <v>333535</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12981809.629999999</v>
      </c>
      <c r="I242" s="4">
        <f t="shared" si="11"/>
        <v>0</v>
      </c>
      <c r="J242" s="31">
        <f>Dodatni!I35</f>
        <v>1987601</v>
      </c>
      <c r="K242" s="31">
        <f>Dodatni!J35</f>
        <v>1699521</v>
      </c>
    </row>
    <row r="243" spans="4:11" ht="12.75">
      <c r="D243" s="4" t="s">
        <v>1522</v>
      </c>
      <c r="E243" s="4">
        <v>3</v>
      </c>
      <c r="F243" s="4">
        <f>Dodatni!H37</f>
        <v>242</v>
      </c>
      <c r="H243" s="30">
        <f t="shared" si="10"/>
        <v>13035676.059999999</v>
      </c>
      <c r="I243" s="4">
        <f t="shared" si="11"/>
        <v>0</v>
      </c>
      <c r="J243" s="31">
        <f>Dodatni!I37</f>
        <v>1987601</v>
      </c>
      <c r="K243" s="31">
        <f>Dodatni!J37</f>
        <v>1699521</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1535455.74</v>
      </c>
      <c r="I247" s="4">
        <f t="shared" si="11"/>
        <v>0</v>
      </c>
      <c r="J247" s="31">
        <f>Dodatni!I43</f>
        <v>289797</v>
      </c>
      <c r="K247" s="31">
        <f>Dodatni!J43</f>
        <v>167186</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411017.04000000004</v>
      </c>
      <c r="I253" s="4">
        <f t="shared" si="11"/>
        <v>0</v>
      </c>
      <c r="J253" s="31">
        <f>Dodatni!I50</f>
        <v>50786</v>
      </c>
      <c r="K253" s="31">
        <f>Dodatni!J50</f>
        <v>56158</v>
      </c>
    </row>
    <row r="254" spans="4:11" ht="12.75">
      <c r="D254" s="4" t="s">
        <v>1522</v>
      </c>
      <c r="E254" s="4">
        <v>3</v>
      </c>
      <c r="F254" s="4">
        <f>Dodatni!H51</f>
        <v>253</v>
      </c>
      <c r="H254" s="30">
        <f t="shared" si="10"/>
        <v>4591.95</v>
      </c>
      <c r="I254" s="4">
        <f t="shared" si="11"/>
        <v>0</v>
      </c>
      <c r="J254" s="31">
        <f>Dodatni!I51</f>
        <v>319</v>
      </c>
      <c r="K254" s="31">
        <f>Dodatni!J51</f>
        <v>748</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60364.159999999996</v>
      </c>
      <c r="I258" s="4">
        <f t="shared" si="11"/>
        <v>0</v>
      </c>
      <c r="J258" s="31">
        <f>Dodatni!I55</f>
        <v>7568</v>
      </c>
      <c r="K258" s="31">
        <f>Dodatni!J55</f>
        <v>7960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222838.86</v>
      </c>
      <c r="I263" s="4">
        <f t="shared" si="11"/>
        <v>0</v>
      </c>
      <c r="J263" s="31">
        <f>Dodatni!I60</f>
        <v>25053</v>
      </c>
      <c r="K263" s="31">
        <f>Dodatni!J60</f>
        <v>30000</v>
      </c>
    </row>
    <row r="264" spans="4:11" ht="12.75">
      <c r="D264" s="4" t="s">
        <v>1522</v>
      </c>
      <c r="E264" s="4">
        <v>3</v>
      </c>
      <c r="F264" s="4">
        <f>Dodatni!H61</f>
        <v>263</v>
      </c>
      <c r="H264" s="30">
        <f t="shared" si="10"/>
        <v>223689.39</v>
      </c>
      <c r="I264" s="4">
        <f t="shared" si="11"/>
        <v>0</v>
      </c>
      <c r="J264" s="31">
        <f>Dodatni!I61</f>
        <v>25053</v>
      </c>
      <c r="K264" s="31">
        <f>Dodatni!J61</f>
        <v>30000</v>
      </c>
    </row>
    <row r="265" spans="4:11" ht="12.75">
      <c r="D265" s="4" t="s">
        <v>1522</v>
      </c>
      <c r="E265" s="4">
        <v>3</v>
      </c>
      <c r="F265" s="4">
        <f>Dodatni!H62</f>
        <v>264</v>
      </c>
      <c r="H265" s="30">
        <f t="shared" si="10"/>
        <v>3696</v>
      </c>
      <c r="I265" s="4">
        <f t="shared" si="11"/>
        <v>0</v>
      </c>
      <c r="J265" s="31">
        <f>Dodatni!I62</f>
        <v>640</v>
      </c>
      <c r="K265" s="31">
        <f>Dodatni!J62</f>
        <v>380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2492231.4000000004</v>
      </c>
      <c r="I268" s="4">
        <f t="shared" si="11"/>
        <v>0</v>
      </c>
      <c r="J268" s="31">
        <f>Dodatni!I65</f>
        <v>204710</v>
      </c>
      <c r="K268" s="31">
        <f>Dodatni!J65</f>
        <v>364355</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991186.78</v>
      </c>
      <c r="I275" s="4">
        <f aca="true" t="shared" si="13" ref="I275:I284">ABS(ROUND(J275,0)-J275)+ABS(ROUND(K275,0)-K275)</f>
        <v>0</v>
      </c>
      <c r="J275" s="31">
        <f>Dodatni!I73</f>
        <v>217577</v>
      </c>
      <c r="K275" s="31">
        <f>Dodatni!J73</f>
        <v>72085</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4545.57</v>
      </c>
      <c r="I278" s="4">
        <f t="shared" si="13"/>
        <v>0</v>
      </c>
      <c r="J278" s="31">
        <f>Dodatni!I76</f>
        <v>873</v>
      </c>
      <c r="K278" s="31">
        <f>Dodatni!J76</f>
        <v>384</v>
      </c>
    </row>
    <row r="279" spans="4:11" ht="12.75">
      <c r="D279" s="4" t="s">
        <v>1522</v>
      </c>
      <c r="E279" s="4">
        <v>3</v>
      </c>
      <c r="F279" s="4">
        <f>Dodatni!H78</f>
        <v>278</v>
      </c>
      <c r="H279" s="30">
        <f t="shared" si="12"/>
        <v>380537.51999999996</v>
      </c>
      <c r="I279" s="4">
        <f t="shared" si="13"/>
        <v>0</v>
      </c>
      <c r="J279" s="31">
        <f>Dodatni!I78</f>
        <v>4552</v>
      </c>
      <c r="K279" s="31">
        <f>Dodatni!J78</f>
        <v>66166</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335815.19999999995</v>
      </c>
      <c r="I281" s="4">
        <f t="shared" si="13"/>
        <v>0</v>
      </c>
      <c r="J281" s="31">
        <f>Dodatni!I80</f>
        <v>4552</v>
      </c>
      <c r="K281" s="31">
        <f>Dodatni!J80</f>
        <v>57691</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47799</v>
      </c>
      <c r="I283" s="4">
        <f t="shared" si="13"/>
        <v>0</v>
      </c>
      <c r="J283" s="31">
        <f>Dodatni!I82</f>
        <v>0</v>
      </c>
      <c r="K283" s="31">
        <f>Dodatni!J82</f>
        <v>8475</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42"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REDEA d.o.o.</v>
      </c>
      <c r="X2" s="209" t="s">
        <v>207</v>
      </c>
      <c r="Y2" s="231">
        <f>IF(RefStr!C54&lt;&gt;"",RefStr!C54,"")</f>
        <v>100</v>
      </c>
      <c r="Z2" s="209" t="s">
        <v>2326</v>
      </c>
      <c r="AA2" s="231">
        <f>IF(RefStr!B64="","",RefStr!B64)</f>
      </c>
    </row>
    <row r="3" spans="1:27" ht="13.5" customHeight="1">
      <c r="A3" s="496" t="s">
        <v>2472</v>
      </c>
      <c r="B3" s="497"/>
      <c r="C3" s="497"/>
      <c r="D3" s="497"/>
      <c r="E3" s="497"/>
      <c r="F3" s="497"/>
      <c r="G3" s="497"/>
      <c r="H3" s="497"/>
      <c r="I3" s="504"/>
      <c r="J3" s="505"/>
      <c r="L3" s="145"/>
      <c r="M3" s="145"/>
      <c r="N3" s="208" t="s">
        <v>541</v>
      </c>
      <c r="O3" s="211">
        <f>RDG!Q1</f>
        <v>1</v>
      </c>
      <c r="P3" s="212">
        <f>RDG!Q2</f>
        <v>1</v>
      </c>
      <c r="Q3" s="232">
        <f>RDG!Q3</f>
        <v>1</v>
      </c>
      <c r="R3" s="211" t="s">
        <v>1824</v>
      </c>
      <c r="S3" s="232">
        <f>IF(RefStr!C50&lt;&gt;"",IF(ISERROR(INT(RefStr!C50)),0,RefStr!C50),0)</f>
        <v>2</v>
      </c>
      <c r="T3" s="211" t="s">
        <v>777</v>
      </c>
      <c r="U3" s="232">
        <f>RefStr!L21</f>
        <v>0</v>
      </c>
      <c r="V3" s="211" t="s">
        <v>2355</v>
      </c>
      <c r="W3" s="232">
        <f>RefStr!C31</f>
        <v>40000</v>
      </c>
      <c r="X3" s="211" t="s">
        <v>208</v>
      </c>
      <c r="Y3" s="232">
        <f>IF(RefStr!F54&lt;&gt;"",RefStr!F54,"")</f>
        <v>0</v>
      </c>
      <c r="Z3" s="211" t="s">
        <v>2327</v>
      </c>
      <c r="AA3" s="232">
        <f>IF(RefStr!B66="","",RefStr!B66)</f>
      </c>
    </row>
    <row r="4" spans="1:27" ht="13.5" customHeight="1">
      <c r="A4" s="498"/>
      <c r="B4" s="499"/>
      <c r="C4" s="499"/>
      <c r="D4" s="499"/>
      <c r="E4" s="499"/>
      <c r="F4" s="499"/>
      <c r="G4" s="499"/>
      <c r="H4" s="499"/>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61539263602</v>
      </c>
      <c r="V4" s="211" t="s">
        <v>2356</v>
      </c>
      <c r="W4" s="232" t="str">
        <f>RefStr!F31</f>
        <v>ČAKOVEC</v>
      </c>
      <c r="X4" s="234" t="s">
        <v>222</v>
      </c>
      <c r="Y4" s="235" t="str">
        <f>RefStr!I68</f>
        <v>DA</v>
      </c>
      <c r="Z4" s="211" t="s">
        <v>2570</v>
      </c>
      <c r="AA4" s="232" t="str">
        <f>RefStr!N19</f>
        <v>HSFI</v>
      </c>
    </row>
    <row r="5" spans="1:27" ht="13.5" customHeight="1">
      <c r="A5" s="498"/>
      <c r="B5" s="499"/>
      <c r="C5" s="499"/>
      <c r="D5" s="499"/>
      <c r="E5" s="499"/>
      <c r="F5" s="499"/>
      <c r="G5" s="499"/>
      <c r="H5" s="499"/>
      <c r="I5" s="506"/>
      <c r="J5" s="507"/>
      <c r="L5" s="3"/>
      <c r="M5" s="3"/>
      <c r="N5" s="208" t="s">
        <v>1523</v>
      </c>
      <c r="O5" s="211">
        <f>NT_I!Q1</f>
        <v>0</v>
      </c>
      <c r="P5" s="212">
        <f>NT_I!Q2</f>
        <v>0</v>
      </c>
      <c r="Q5" s="232">
        <f>NT_I!Q3</f>
        <v>0</v>
      </c>
      <c r="R5" s="211" t="s">
        <v>1197</v>
      </c>
      <c r="S5" s="232">
        <f>IF(RefStr!C19&lt;&gt;"",IF(ISERROR(INT(RefStr!C19)),0,RefStr!C19),0)</f>
        <v>3</v>
      </c>
      <c r="T5" s="211" t="s">
        <v>2352</v>
      </c>
      <c r="U5" s="232" t="str">
        <f>RefStr!H27</f>
        <v>01331981</v>
      </c>
      <c r="V5" s="211" t="s">
        <v>2357</v>
      </c>
      <c r="W5" s="232" t="str">
        <f>RefStr!C33</f>
        <v>Bana Josipa Jelačića 22</v>
      </c>
      <c r="X5" s="234" t="s">
        <v>2517</v>
      </c>
      <c r="Y5" s="235" t="str">
        <f>RefStr!I62</f>
        <v>NE</v>
      </c>
      <c r="Z5" s="211" t="s">
        <v>691</v>
      </c>
      <c r="AA5" s="232">
        <f>RefStr!M46</f>
        <v>0</v>
      </c>
    </row>
    <row r="6" spans="1:27" ht="13.5" customHeight="1">
      <c r="A6" s="498"/>
      <c r="B6" s="499"/>
      <c r="C6" s="499"/>
      <c r="D6" s="499"/>
      <c r="E6" s="499"/>
      <c r="F6" s="499"/>
      <c r="G6" s="499"/>
      <c r="H6" s="499"/>
      <c r="I6" s="506"/>
      <c r="J6" s="507"/>
      <c r="L6" s="3"/>
      <c r="M6" s="3"/>
      <c r="N6" s="208" t="s">
        <v>1524</v>
      </c>
      <c r="O6" s="211">
        <f>NT_D!Q1</f>
        <v>0</v>
      </c>
      <c r="P6" s="212">
        <f>NT_D!Q2</f>
        <v>0</v>
      </c>
      <c r="Q6" s="232">
        <f>NT_D!Q3</f>
        <v>0</v>
      </c>
      <c r="R6" s="211" t="s">
        <v>1195</v>
      </c>
      <c r="S6" s="232" t="str">
        <f>RefStr!C21</f>
        <v>NE</v>
      </c>
      <c r="T6" s="211" t="s">
        <v>2353</v>
      </c>
      <c r="U6" s="232" t="str">
        <f>RefStr!M27</f>
        <v>070048488</v>
      </c>
      <c r="V6" s="211" t="s">
        <v>2568</v>
      </c>
      <c r="W6" s="232" t="str">
        <f>RefStr!L35</f>
        <v>040/395-560</v>
      </c>
      <c r="X6" s="211" t="s">
        <v>2514</v>
      </c>
      <c r="Y6" s="232" t="str">
        <f>RefStr!C68</f>
        <v>Nada Kanižaj</v>
      </c>
      <c r="Z6" s="211" t="s">
        <v>1415</v>
      </c>
      <c r="AA6" s="232">
        <f>RefStr!C46</f>
        <v>0</v>
      </c>
    </row>
    <row r="7" spans="1:27" ht="13.5" customHeight="1">
      <c r="A7" s="498"/>
      <c r="B7" s="499"/>
      <c r="C7" s="499"/>
      <c r="D7" s="499"/>
      <c r="E7" s="499"/>
      <c r="F7" s="499"/>
      <c r="G7" s="499"/>
      <c r="H7" s="499"/>
      <c r="I7" s="222" t="s">
        <v>16</v>
      </c>
      <c r="J7" s="224">
        <f>SUM(M12:M120)</f>
        <v>0</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REDEA@REDEA.HR</v>
      </c>
      <c r="X7" s="211" t="s">
        <v>2515</v>
      </c>
      <c r="Y7" s="232" t="str">
        <f>RefStr!C70</f>
        <v>040/364-037</v>
      </c>
      <c r="Z7" s="211" t="s">
        <v>1416</v>
      </c>
      <c r="AA7" s="232">
        <f>RefStr!D46</f>
      </c>
    </row>
    <row r="8" spans="1:27" ht="13.5" customHeight="1">
      <c r="A8" s="500"/>
      <c r="B8" s="501"/>
      <c r="C8" s="501"/>
      <c r="D8" s="501"/>
      <c r="E8" s="501"/>
      <c r="F8" s="501"/>
      <c r="G8" s="501"/>
      <c r="H8" s="501"/>
      <c r="I8" s="502"/>
      <c r="J8" s="503"/>
      <c r="L8" s="195"/>
      <c r="M8" s="195"/>
      <c r="N8" s="230" t="s">
        <v>615</v>
      </c>
      <c r="O8" s="213" t="str">
        <f>IF(RefStr!N6="NE","DA",IF(RefStr!N6="DA","NE",RefStr!N6))</f>
        <v>NE</v>
      </c>
      <c r="P8" s="214">
        <f>RefStr!C60</f>
        <v>12</v>
      </c>
      <c r="Q8" s="233">
        <f>RefStr!F60</f>
        <v>12</v>
      </c>
      <c r="R8" s="211" t="s">
        <v>1859</v>
      </c>
      <c r="S8" s="232">
        <f>IF(RefStr!C4&lt;&gt;"",RefStr!C4,0)</f>
        <v>42736</v>
      </c>
      <c r="T8" s="211" t="s">
        <v>1861</v>
      </c>
      <c r="U8" s="232" t="str">
        <f>RefStr!D7</f>
        <v>Društvo s ograničenom odgovornošću</v>
      </c>
      <c r="V8" s="211" t="s">
        <v>2574</v>
      </c>
      <c r="W8" s="232" t="str">
        <f>RefStr!C42</f>
        <v>7022</v>
      </c>
      <c r="X8" s="211" t="s">
        <v>2516</v>
      </c>
      <c r="Y8" s="232" t="str">
        <f>TRIM(UPPER(RefStr!C72))</f>
        <v>RIN-COMMERCE@CK.T-COM.HR</v>
      </c>
      <c r="Z8" s="236" t="s">
        <v>218</v>
      </c>
      <c r="AA8" s="237" t="str">
        <f>RefStr!I56</f>
        <v>DA</v>
      </c>
    </row>
    <row r="9" spans="1:27" ht="13.5" customHeight="1">
      <c r="A9" s="491" t="s">
        <v>566</v>
      </c>
      <c r="B9" s="491"/>
      <c r="C9" s="491" t="s">
        <v>727</v>
      </c>
      <c r="D9" s="491"/>
      <c r="E9" s="491"/>
      <c r="F9" s="491"/>
      <c r="G9" s="491"/>
      <c r="H9" s="491"/>
      <c r="I9" s="491"/>
      <c r="J9" s="491"/>
      <c r="L9" s="195"/>
      <c r="M9" s="195"/>
      <c r="O9" s="230" t="s">
        <v>614</v>
      </c>
      <c r="P9" s="209">
        <f>RefStr!C58</f>
        <v>14</v>
      </c>
      <c r="Q9" s="231">
        <f>RefStr!F58</f>
        <v>16</v>
      </c>
      <c r="R9" s="211" t="s">
        <v>1860</v>
      </c>
      <c r="S9" s="232">
        <f>IF(RefStr!F4&lt;&gt;"",RefStr!F4,0)</f>
        <v>43100</v>
      </c>
      <c r="T9" s="211" t="s">
        <v>1821</v>
      </c>
      <c r="U9" s="232">
        <f>RefStr!C39</f>
        <v>60</v>
      </c>
      <c r="V9" s="211" t="s">
        <v>1414</v>
      </c>
      <c r="W9" s="232" t="str">
        <f>RefStr!D42</f>
        <v>Savjetovanje u vezi s poslovanjem i os...</v>
      </c>
      <c r="X9" s="238" t="s">
        <v>221</v>
      </c>
      <c r="Y9" s="239" t="str">
        <f>RefStr!I66</f>
        <v>DA</v>
      </c>
      <c r="Z9" s="236" t="s">
        <v>219</v>
      </c>
      <c r="AA9" s="237" t="str">
        <f>RefStr!I64</f>
        <v>NE</v>
      </c>
    </row>
    <row r="10" spans="1:27" ht="13.5" customHeight="1">
      <c r="A10" s="492"/>
      <c r="B10" s="492"/>
      <c r="C10" s="492"/>
      <c r="D10" s="492"/>
      <c r="E10" s="492"/>
      <c r="F10" s="492"/>
      <c r="G10" s="492"/>
      <c r="H10" s="492"/>
      <c r="I10" s="492"/>
      <c r="J10" s="492"/>
      <c r="L10" s="195"/>
      <c r="M10" s="195"/>
      <c r="O10" s="230" t="s">
        <v>2123</v>
      </c>
      <c r="P10" s="213">
        <f>RefStr!C56</f>
        <v>17</v>
      </c>
      <c r="Q10" s="233">
        <f>RefStr!F56</f>
        <v>17</v>
      </c>
      <c r="R10" s="213" t="s">
        <v>1863</v>
      </c>
      <c r="S10" s="233">
        <f>RefStr!C23</f>
        <v>1</v>
      </c>
      <c r="T10" s="213" t="s">
        <v>2573</v>
      </c>
      <c r="U10" s="233" t="str">
        <f>RefStr!D39</f>
        <v>Čakovec</v>
      </c>
      <c r="V10" s="240"/>
      <c r="W10" s="241"/>
      <c r="X10" s="242" t="s">
        <v>1974</v>
      </c>
      <c r="Y10" s="243">
        <f>RefStr!F12</f>
        <v>2017</v>
      </c>
      <c r="Z10" s="213" t="s">
        <v>209</v>
      </c>
      <c r="AA10" s="233" t="str">
        <f>RefStr!A75</f>
        <v>POLANEC MARINOVIĆ SANDRA</v>
      </c>
    </row>
    <row r="11" spans="1:25" ht="13.5" customHeight="1">
      <c r="A11" s="488" t="s">
        <v>642</v>
      </c>
      <c r="B11" s="489"/>
      <c r="C11" s="489"/>
      <c r="D11" s="489"/>
      <c r="E11" s="489"/>
      <c r="F11" s="489"/>
      <c r="G11" s="489"/>
      <c r="H11" s="489"/>
      <c r="I11" s="489"/>
      <c r="J11" s="490"/>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493" t="s">
        <v>516</v>
      </c>
      <c r="B42" s="494"/>
      <c r="C42" s="494"/>
      <c r="D42" s="494"/>
      <c r="E42" s="494"/>
      <c r="F42" s="494"/>
      <c r="G42" s="494"/>
      <c r="H42" s="494"/>
      <c r="I42" s="494"/>
      <c r="J42" s="495"/>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87"/>
      <c r="E50" s="487"/>
      <c r="F50" s="487"/>
      <c r="G50" s="487"/>
      <c r="H50" s="487"/>
      <c r="I50" s="487"/>
      <c r="J50" s="487"/>
      <c r="L50" s="195">
        <f>IF(N50&lt;&gt;S3,1,0)</f>
        <v>0</v>
      </c>
      <c r="M50" s="195"/>
      <c r="N50" s="195">
        <f>IF(P8&gt;0,O50,AC50)</f>
        <v>2</v>
      </c>
      <c r="O50" s="199">
        <f>IF(SUM(Y50:AA50)&gt;1,4,IF(SUM(U50:W50)&gt;1,3,IF(SUM(Q50:S50)&gt;1,2,IF(S6="DA",2,1))))</f>
        <v>2</v>
      </c>
      <c r="P50" s="202" t="s">
        <v>2666</v>
      </c>
      <c r="Q50" s="202">
        <f>IF(Bilanca!I73&gt;2600000,1,0)</f>
        <v>1</v>
      </c>
      <c r="R50" s="201">
        <f>IF(RDG!I60&gt;5200000,1,0)</f>
        <v>0</v>
      </c>
      <c r="S50" s="201">
        <f>IF(P10&gt;10,1,0)</f>
        <v>1</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0</v>
      </c>
      <c r="AG50" s="201">
        <f>IF(Q10&gt;10,1,0)</f>
        <v>1</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e">
        <f ca="1">CELL("filename")</f>
        <v>#N/A</v>
      </c>
      <c r="P118" s="195" t="e">
        <f>FIND(".XLSX",UPPER(O118),1)</f>
        <v>#N/A</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33:J33"/>
    <mergeCell ref="C29:J29"/>
    <mergeCell ref="C13:J13"/>
    <mergeCell ref="C18:J18"/>
    <mergeCell ref="C16:J16"/>
    <mergeCell ref="C17:J17"/>
    <mergeCell ref="C15:J15"/>
    <mergeCell ref="C19:J19"/>
    <mergeCell ref="C24:J24"/>
    <mergeCell ref="C14:J14"/>
    <mergeCell ref="C21:J21"/>
    <mergeCell ref="C22:J22"/>
    <mergeCell ref="C23:J23"/>
    <mergeCell ref="C31:J31"/>
    <mergeCell ref="C28:J28"/>
    <mergeCell ref="C30:J30"/>
    <mergeCell ref="C20:J20"/>
    <mergeCell ref="C38:J38"/>
    <mergeCell ref="C36:J36"/>
    <mergeCell ref="C37:J37"/>
    <mergeCell ref="C25:J25"/>
    <mergeCell ref="C27:J27"/>
    <mergeCell ref="C26:J26"/>
    <mergeCell ref="C34:J34"/>
    <mergeCell ref="C35:J35"/>
    <mergeCell ref="C32:J32"/>
    <mergeCell ref="C113:J113"/>
    <mergeCell ref="C114:J114"/>
    <mergeCell ref="C39:J39"/>
    <mergeCell ref="C41:J41"/>
    <mergeCell ref="C106:J106"/>
    <mergeCell ref="C115:J115"/>
    <mergeCell ref="C64:J64"/>
    <mergeCell ref="C65:J65"/>
    <mergeCell ref="C120:J120"/>
    <mergeCell ref="C119:J119"/>
    <mergeCell ref="C118:J118"/>
    <mergeCell ref="C108:J108"/>
    <mergeCell ref="A107:J107"/>
    <mergeCell ref="C110:J110"/>
    <mergeCell ref="C111:J111"/>
    <mergeCell ref="C112:J112"/>
    <mergeCell ref="C117:J117"/>
    <mergeCell ref="C116:J116"/>
    <mergeCell ref="C99:J99"/>
    <mergeCell ref="C81:J81"/>
    <mergeCell ref="C88:J88"/>
    <mergeCell ref="C82:J82"/>
    <mergeCell ref="C86:J86"/>
    <mergeCell ref="C87:J87"/>
    <mergeCell ref="C83:J83"/>
    <mergeCell ref="C85:J85"/>
    <mergeCell ref="C97:J97"/>
    <mergeCell ref="C84:J84"/>
    <mergeCell ref="C45:J45"/>
    <mergeCell ref="C50:J50"/>
    <mergeCell ref="C79:J79"/>
    <mergeCell ref="C95:J95"/>
    <mergeCell ref="C96:J96"/>
    <mergeCell ref="C49:J49"/>
    <mergeCell ref="C51:J51"/>
    <mergeCell ref="C72:J72"/>
    <mergeCell ref="C75:J75"/>
    <mergeCell ref="C57:J57"/>
    <mergeCell ref="C74:J74"/>
    <mergeCell ref="C48:J48"/>
    <mergeCell ref="C54:J54"/>
    <mergeCell ref="C55:J55"/>
    <mergeCell ref="C60:J60"/>
    <mergeCell ref="C61:J61"/>
    <mergeCell ref="C62:J62"/>
    <mergeCell ref="C71:J71"/>
    <mergeCell ref="C70:J70"/>
    <mergeCell ref="C67:J67"/>
    <mergeCell ref="C69:J69"/>
    <mergeCell ref="A73:J73"/>
    <mergeCell ref="C47:J47"/>
    <mergeCell ref="C104:J104"/>
    <mergeCell ref="C103:J103"/>
    <mergeCell ref="C76:J76"/>
    <mergeCell ref="C90:J90"/>
    <mergeCell ref="C89:J89"/>
    <mergeCell ref="C101:J101"/>
    <mergeCell ref="C100:J100"/>
    <mergeCell ref="C80:J80"/>
    <mergeCell ref="C78:J78"/>
    <mergeCell ref="C77:J77"/>
    <mergeCell ref="C66:J66"/>
    <mergeCell ref="C68:J68"/>
    <mergeCell ref="C109:J109"/>
    <mergeCell ref="C56:J56"/>
    <mergeCell ref="C98:J98"/>
    <mergeCell ref="C91:J91"/>
    <mergeCell ref="C92:J92"/>
    <mergeCell ref="C93:J93"/>
    <mergeCell ref="C94:J94"/>
    <mergeCell ref="C102:J102"/>
    <mergeCell ref="C105:J105"/>
    <mergeCell ref="A3:H8"/>
    <mergeCell ref="I8:J8"/>
    <mergeCell ref="I3:J3"/>
    <mergeCell ref="I5:J5"/>
    <mergeCell ref="I6:J6"/>
    <mergeCell ref="C9:J10"/>
    <mergeCell ref="C59:J59"/>
    <mergeCell ref="C63:J63"/>
    <mergeCell ref="C44:J44"/>
    <mergeCell ref="C58:J58"/>
    <mergeCell ref="A11:J11"/>
    <mergeCell ref="A9:B10"/>
    <mergeCell ref="C40:J40"/>
    <mergeCell ref="C52:J52"/>
    <mergeCell ref="C53:J53"/>
    <mergeCell ref="C43:J43"/>
    <mergeCell ref="A42:J42"/>
    <mergeCell ref="C12:J12"/>
    <mergeCell ref="C46:J46"/>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5"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2" activePane="bottomLeft" state="frozen"/>
      <selection pane="topLeft" activeCell="A1" sqref="A1"/>
      <selection pane="bottomLeft" activeCell="B12" sqref="B12"/>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2017</v>
      </c>
    </row>
    <row r="2" spans="1:17" s="148" customFormat="1" ht="60" customHeight="1">
      <c r="A2" s="292" t="s">
        <v>1057</v>
      </c>
      <c r="B2" s="293"/>
      <c r="C2" s="293"/>
      <c r="D2" s="293"/>
      <c r="E2" s="293"/>
      <c r="F2" s="293"/>
      <c r="G2" s="293"/>
      <c r="H2" s="293"/>
      <c r="I2" s="293"/>
      <c r="J2" s="293"/>
      <c r="K2" s="293"/>
      <c r="L2" s="293"/>
      <c r="M2" s="293"/>
      <c r="N2" s="294"/>
      <c r="O2" s="3"/>
      <c r="P2" s="54"/>
      <c r="Q2" s="53">
        <f>IF(F4&lt;&gt;"",YEAR(F4),"")</f>
        <v>2017</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42736</v>
      </c>
      <c r="D4" s="288"/>
      <c r="E4" s="10" t="s">
        <v>1527</v>
      </c>
      <c r="F4" s="287">
        <v>43100</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21.67</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57.17</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2017</v>
      </c>
      <c r="G12" s="330"/>
      <c r="H12" s="322" t="s">
        <v>2105</v>
      </c>
      <c r="I12" s="323"/>
      <c r="J12" s="323"/>
      <c r="K12" s="156"/>
      <c r="L12" s="156"/>
      <c r="M12" s="156"/>
      <c r="N12" s="156"/>
      <c r="P12" s="54" t="s">
        <v>2353</v>
      </c>
      <c r="Q12" s="55">
        <f>INT(VALUE(H27))/10</f>
        <v>133198.1</v>
      </c>
    </row>
    <row r="13" spans="4:17" ht="9.75" customHeight="1">
      <c r="D13" s="156"/>
      <c r="E13" s="162"/>
      <c r="H13" s="27"/>
      <c r="I13" s="163"/>
      <c r="J13" s="163"/>
      <c r="K13" s="156"/>
      <c r="L13" s="156"/>
      <c r="M13" s="156"/>
      <c r="N13" s="156"/>
      <c r="P13" s="54" t="s">
        <v>2353</v>
      </c>
      <c r="Q13" s="55">
        <f>INT(VALUE(M27))/50</f>
        <v>1400969.76</v>
      </c>
    </row>
    <row r="14" spans="1:17" ht="15">
      <c r="A14" s="321" t="s">
        <v>2714</v>
      </c>
      <c r="B14" s="321"/>
      <c r="C14" s="321"/>
      <c r="D14" s="164"/>
      <c r="E14" s="165"/>
      <c r="F14" s="319"/>
      <c r="G14" s="320"/>
      <c r="H14" s="320"/>
      <c r="I14" s="156"/>
      <c r="J14" s="327" t="s">
        <v>2100</v>
      </c>
      <c r="K14" s="328"/>
      <c r="L14" s="328"/>
      <c r="M14" s="328"/>
      <c r="N14" s="328"/>
      <c r="P14" s="54" t="s">
        <v>2718</v>
      </c>
      <c r="Q14" s="55">
        <f>INT(VALUE(C27))/100</f>
        <v>615392636.02</v>
      </c>
    </row>
    <row r="15" spans="1:17" ht="19.5" customHeight="1">
      <c r="A15" s="324">
        <f>Skriveni!B59</f>
        <v>827692166.7900001</v>
      </c>
      <c r="B15" s="325"/>
      <c r="C15" s="326"/>
      <c r="D15" s="60"/>
      <c r="E15" s="60"/>
      <c r="F15" s="60"/>
      <c r="G15" s="60"/>
      <c r="H15" s="60"/>
      <c r="I15" s="60"/>
      <c r="J15" s="60"/>
      <c r="K15" s="60"/>
      <c r="L15" s="60"/>
      <c r="M15" s="60"/>
      <c r="N15" s="60"/>
      <c r="P15" s="54" t="s">
        <v>1817</v>
      </c>
      <c r="Q15" s="55">
        <f>LEN(Skriveni!B9)</f>
        <v>12</v>
      </c>
    </row>
    <row r="16" spans="4:17" ht="12.75" customHeight="1">
      <c r="D16" s="60"/>
      <c r="E16" s="60"/>
      <c r="F16" s="60"/>
      <c r="G16" s="60"/>
      <c r="H16" s="60"/>
      <c r="I16" s="60"/>
      <c r="P16" s="54" t="s">
        <v>1818</v>
      </c>
      <c r="Q16" s="55">
        <f>INT(VALUE(C31))/100</f>
        <v>400</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7</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3</v>
      </c>
      <c r="D19" s="371"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372"/>
      <c r="F19" s="372"/>
      <c r="G19" s="372"/>
      <c r="H19" s="372"/>
      <c r="I19" s="347" t="s">
        <v>1729</v>
      </c>
      <c r="J19" s="373"/>
      <c r="K19" s="373"/>
      <c r="L19" s="373"/>
      <c r="M19" s="373"/>
      <c r="N19" s="36" t="s">
        <v>2139</v>
      </c>
      <c r="P19" s="54" t="s">
        <v>1820</v>
      </c>
      <c r="Q19" s="55">
        <f>LEN(Skriveni!B12)</f>
        <v>23</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2619</v>
      </c>
      <c r="J21" s="374" t="s">
        <v>2110</v>
      </c>
      <c r="K21" s="373"/>
      <c r="L21" s="274"/>
      <c r="M21" s="342"/>
      <c r="N21" s="277"/>
      <c r="P21" s="54" t="s">
        <v>1821</v>
      </c>
      <c r="Q21" s="55">
        <f>INT(VALUE(C39))</f>
        <v>60</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7022</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2406</v>
      </c>
      <c r="G27" s="343"/>
      <c r="H27" s="274" t="s">
        <v>2954</v>
      </c>
      <c r="I27" s="275"/>
      <c r="J27" s="279" t="s">
        <v>2099</v>
      </c>
      <c r="K27" s="280"/>
      <c r="L27" s="344"/>
      <c r="M27" s="274" t="s">
        <v>2955</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2956</v>
      </c>
      <c r="D29" s="345"/>
      <c r="E29" s="345"/>
      <c r="F29" s="345"/>
      <c r="G29" s="345"/>
      <c r="H29" s="345"/>
      <c r="I29" s="345"/>
      <c r="J29" s="345"/>
      <c r="K29" s="345"/>
      <c r="L29" s="346"/>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40000</v>
      </c>
      <c r="D31" s="335" t="s">
        <v>693</v>
      </c>
      <c r="E31" s="336"/>
      <c r="F31" s="316" t="s">
        <v>2957</v>
      </c>
      <c r="G31" s="337"/>
      <c r="H31" s="337"/>
      <c r="I31" s="337"/>
      <c r="J31" s="337"/>
      <c r="K31" s="337"/>
      <c r="L31" s="338"/>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2958</v>
      </c>
      <c r="D33" s="345"/>
      <c r="E33" s="345"/>
      <c r="F33" s="345"/>
      <c r="G33" s="345"/>
      <c r="H33" s="345"/>
      <c r="I33" s="345"/>
      <c r="J33" s="345"/>
      <c r="K33" s="345"/>
      <c r="L33" s="346"/>
      <c r="M33" s="60"/>
      <c r="N33" s="60"/>
      <c r="P33" s="54" t="s">
        <v>1824</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2959</v>
      </c>
      <c r="D35" s="340"/>
      <c r="E35" s="340"/>
      <c r="F35" s="340"/>
      <c r="G35" s="340"/>
      <c r="H35" s="340"/>
      <c r="I35" s="341"/>
      <c r="J35" s="283" t="s">
        <v>188</v>
      </c>
      <c r="K35" s="347"/>
      <c r="L35" s="274" t="s">
        <v>2960</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t="s">
        <v>2961</v>
      </c>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60</v>
      </c>
      <c r="D39" s="348" t="str">
        <f>IF(C39="","Šifra grada/općine nije upisana",IF(ISNA(LOOKUP(C39,A177:A732,A177:A732)),"Šifra grada/općine ne postoji",IF(LOOKUP(C39,A177:A732,A177:A732)&lt;&gt;C39,"Šifra grada/općine ne postoji",LOOKUP(C39,A177:A732,B177:B732))))</f>
        <v>Čakovec</v>
      </c>
      <c r="E39" s="349"/>
      <c r="F39" s="349"/>
      <c r="G39" s="349"/>
      <c r="H39" s="272" t="s">
        <v>2222</v>
      </c>
      <c r="I39" s="344"/>
      <c r="J39" s="58">
        <f>IF(C39&gt;0,LOOKUP(C39,A177:A732,C177:C732),"")</f>
        <v>20</v>
      </c>
      <c r="K39" s="351" t="str">
        <f>IF(J39="","Treba prvo upisati šifru grada/općine",LOOKUP(J39,A153:A173,B153:B173))</f>
        <v>MEĐIMURSKA</v>
      </c>
      <c r="L39" s="351"/>
      <c r="M39" s="351"/>
      <c r="N39" s="351"/>
      <c r="P39" s="54" t="s">
        <v>1826</v>
      </c>
      <c r="Q39" s="55">
        <f>C56+2*F56+3*C58+4*F58</f>
        <v>157</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375</v>
      </c>
      <c r="D42" s="353" t="str">
        <f>IF(C42="","Šifra NKD-a nije upisana",IF(ISNA(LOOKUP(C42,A736:A1351,A736:A1351)),"Šifra NKD-a ne postoji",IF(LOOKUP(C42,A736:A1351,A736:A1351)&lt;&gt;C42,"Šifra NKD-a ne postoji",LOOKUP(C42,A736:A1351,B736:B1351))))</f>
        <v>Savjetovanje u vezi s poslovanjem i os...</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24</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2</v>
      </c>
      <c r="D50" s="379" t="str">
        <f>IF(C50="","Oznaka veličine nije upisana",IF(ISNA(LOOKUP(C50,A124:A127,A124:A127)),"Nepostojeća oznaka veličine",IF(LOOKUP(C50,A124:A127,A124:A127)&lt;&gt;C50,"Nepostojeća oznaka veličine",LOOKUP(C50,A124:A127,B124:B127))))</f>
        <v>Mali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DA</v>
      </c>
      <c r="J54" s="350" t="s">
        <v>567</v>
      </c>
      <c r="K54" s="312"/>
      <c r="L54" s="312"/>
      <c r="M54" s="312"/>
      <c r="N54" s="312"/>
      <c r="O54" s="186"/>
      <c r="P54" s="54" t="s">
        <v>2569</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17</v>
      </c>
      <c r="D56" s="270" t="s">
        <v>2898</v>
      </c>
      <c r="E56" s="380"/>
      <c r="F56" s="44">
        <v>17</v>
      </c>
      <c r="G56" s="270" t="s">
        <v>2899</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14</v>
      </c>
      <c r="D58" s="278" t="s">
        <v>2898</v>
      </c>
      <c r="E58" s="278"/>
      <c r="F58" s="44">
        <v>16</v>
      </c>
      <c r="G58" s="278" t="s">
        <v>2899</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2962</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2963</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2964</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2965</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2" activePane="bottomLeft" state="frozen"/>
      <selection pane="topLeft" activeCell="A1" sqref="A1"/>
      <selection pane="bottomLeft" activeCell="I118" sqref="I118"/>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4" t="s">
        <v>138</v>
      </c>
      <c r="B2" s="395"/>
      <c r="C2" s="395"/>
      <c r="D2" s="395"/>
      <c r="E2" s="395"/>
      <c r="F2" s="395"/>
      <c r="G2" s="395"/>
      <c r="H2" s="395"/>
      <c r="I2" s="396"/>
      <c r="J2" s="392" t="s">
        <v>2590</v>
      </c>
      <c r="Q2" s="74">
        <f>IF(OR(MIN(I9:I133)&lt;0,MAX(I9:I133)&gt;0),1,0)</f>
        <v>1</v>
      </c>
      <c r="R2" s="73" t="s">
        <v>2586</v>
      </c>
    </row>
    <row r="3" spans="1:18" ht="19.5" customHeight="1" thickBot="1">
      <c r="A3" s="397" t="str">
        <f>"stanje na dan "&amp;IF(RefStr!F4&lt;&gt;"",TEXT(RefStr!F4,"DD.MM.YYYY."),"__.__.____.")</f>
        <v>stanje na dan 31.12.2017.</v>
      </c>
      <c r="B3" s="398"/>
      <c r="C3" s="398"/>
      <c r="D3" s="398"/>
      <c r="E3" s="398"/>
      <c r="F3" s="398"/>
      <c r="G3" s="398"/>
      <c r="H3" s="398"/>
      <c r="I3" s="399"/>
      <c r="J3" s="393"/>
      <c r="Q3" s="74">
        <f>IF(OR(MIN(J9:J133)&lt;0,MAX(J9:J133)&gt;0),1,0)</f>
        <v>1</v>
      </c>
      <c r="R3" s="73" t="s">
        <v>2587</v>
      </c>
    </row>
    <row r="4" spans="1:10" ht="4.5" customHeight="1">
      <c r="A4" s="244"/>
      <c r="B4" s="76"/>
      <c r="C4" s="76"/>
      <c r="D4" s="76"/>
      <c r="E4" s="76"/>
      <c r="F4" s="76"/>
      <c r="G4" s="76"/>
      <c r="H4" s="76"/>
      <c r="I4" s="76"/>
      <c r="J4" s="75"/>
    </row>
    <row r="5" spans="1:18" ht="15" customHeight="1">
      <c r="A5" s="400" t="str">
        <f>"Obveznik: "&amp;IF(RefStr!C27&lt;&gt;"",RefStr!C27,"________")&amp;"; "&amp;IF(RefStr!C29&lt;&gt;"",RefStr!C29,"________________________________________________________"&amp;"; "&amp;IF(RefStr!F31&lt;&gt;"",RefStr!F31,"_______________"))</f>
        <v>Obveznik: 61539263602; REDEA d.o.o.</v>
      </c>
      <c r="B5" s="401"/>
      <c r="C5" s="401"/>
      <c r="D5" s="401"/>
      <c r="E5" s="401"/>
      <c r="F5" s="401"/>
      <c r="G5" s="401"/>
      <c r="H5" s="401"/>
      <c r="I5" s="401"/>
      <c r="J5" s="402"/>
      <c r="Q5" s="2">
        <f>IF(I96&lt;&gt;0,1,0)</f>
        <v>0</v>
      </c>
      <c r="R5" s="73" t="s">
        <v>2588</v>
      </c>
    </row>
    <row r="6" spans="1:18" ht="24.75" customHeight="1" thickBot="1">
      <c r="A6" s="387" t="s">
        <v>719</v>
      </c>
      <c r="B6" s="388"/>
      <c r="C6" s="388"/>
      <c r="D6" s="388"/>
      <c r="E6" s="388"/>
      <c r="F6" s="388"/>
      <c r="G6" s="102" t="s">
        <v>799</v>
      </c>
      <c r="H6" s="102" t="s">
        <v>1968</v>
      </c>
      <c r="I6" s="102" t="s">
        <v>2292</v>
      </c>
      <c r="J6" s="103" t="s">
        <v>2293</v>
      </c>
      <c r="Q6" s="2">
        <f>IF(J96&lt;&gt;0,1,0)</f>
        <v>0</v>
      </c>
      <c r="R6" s="73" t="s">
        <v>2589</v>
      </c>
    </row>
    <row r="7" spans="1:10" ht="13.5" customHeight="1">
      <c r="A7" s="389">
        <v>1</v>
      </c>
      <c r="B7" s="390"/>
      <c r="C7" s="390"/>
      <c r="D7" s="390"/>
      <c r="E7" s="390"/>
      <c r="F7" s="390"/>
      <c r="G7" s="105">
        <v>2</v>
      </c>
      <c r="H7" s="105">
        <v>3</v>
      </c>
      <c r="I7" s="104">
        <v>4</v>
      </c>
      <c r="J7" s="106">
        <v>5</v>
      </c>
    </row>
    <row r="8" spans="1:10" ht="13.5" customHeight="1">
      <c r="A8" s="385" t="s">
        <v>721</v>
      </c>
      <c r="B8" s="391"/>
      <c r="C8" s="391"/>
      <c r="D8" s="391"/>
      <c r="E8" s="391"/>
      <c r="F8" s="391"/>
      <c r="G8" s="391"/>
      <c r="H8" s="391"/>
      <c r="I8" s="391"/>
      <c r="J8" s="391"/>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3124894</v>
      </c>
      <c r="J10" s="70">
        <f>J11+J18+J28+J39+J44</f>
        <v>3175355</v>
      </c>
    </row>
    <row r="11" spans="1:10" ht="13.5" customHeight="1">
      <c r="A11" s="384" t="s">
        <v>1850</v>
      </c>
      <c r="B11" s="384"/>
      <c r="C11" s="384"/>
      <c r="D11" s="384"/>
      <c r="E11" s="384"/>
      <c r="F11" s="384"/>
      <c r="G11" s="19">
        <v>3</v>
      </c>
      <c r="H11" s="20"/>
      <c r="I11" s="70">
        <f>SUM(I12:I17)</f>
        <v>641</v>
      </c>
      <c r="J11" s="70">
        <f>SUM(J12:J17)</f>
        <v>6488</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v>641</v>
      </c>
      <c r="J13" s="71">
        <v>6488</v>
      </c>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c r="J17" s="71"/>
    </row>
    <row r="18" spans="1:10" ht="13.5" customHeight="1">
      <c r="A18" s="384" t="s">
        <v>731</v>
      </c>
      <c r="B18" s="384"/>
      <c r="C18" s="384"/>
      <c r="D18" s="384"/>
      <c r="E18" s="384"/>
      <c r="F18" s="384"/>
      <c r="G18" s="19">
        <v>10</v>
      </c>
      <c r="H18" s="20"/>
      <c r="I18" s="70">
        <f>SUM(I19:I27)</f>
        <v>21002</v>
      </c>
      <c r="J18" s="70">
        <f>SUM(J19:J27)</f>
        <v>65616</v>
      </c>
    </row>
    <row r="19" spans="1:10" ht="13.5" customHeight="1">
      <c r="A19" s="383" t="s">
        <v>2176</v>
      </c>
      <c r="B19" s="383"/>
      <c r="C19" s="383"/>
      <c r="D19" s="383"/>
      <c r="E19" s="383"/>
      <c r="F19" s="383"/>
      <c r="G19" s="19">
        <v>11</v>
      </c>
      <c r="H19" s="20"/>
      <c r="I19" s="71"/>
      <c r="J19" s="71"/>
    </row>
    <row r="20" spans="1:10" ht="13.5" customHeight="1">
      <c r="A20" s="383" t="s">
        <v>543</v>
      </c>
      <c r="B20" s="383"/>
      <c r="C20" s="383"/>
      <c r="D20" s="383"/>
      <c r="E20" s="383"/>
      <c r="F20" s="383"/>
      <c r="G20" s="19">
        <v>12</v>
      </c>
      <c r="H20" s="20"/>
      <c r="I20" s="71"/>
      <c r="J20" s="71"/>
    </row>
    <row r="21" spans="1:10" ht="13.5" customHeight="1">
      <c r="A21" s="383" t="s">
        <v>2177</v>
      </c>
      <c r="B21" s="383"/>
      <c r="C21" s="383"/>
      <c r="D21" s="383"/>
      <c r="E21" s="383"/>
      <c r="F21" s="383"/>
      <c r="G21" s="19">
        <v>13</v>
      </c>
      <c r="H21" s="20"/>
      <c r="I21" s="71"/>
      <c r="J21" s="71"/>
    </row>
    <row r="22" spans="1:10" ht="13.5" customHeight="1">
      <c r="A22" s="383" t="s">
        <v>2290</v>
      </c>
      <c r="B22" s="383"/>
      <c r="C22" s="383"/>
      <c r="D22" s="383"/>
      <c r="E22" s="383"/>
      <c r="F22" s="383"/>
      <c r="G22" s="19">
        <v>14</v>
      </c>
      <c r="H22" s="20"/>
      <c r="I22" s="71">
        <v>21002</v>
      </c>
      <c r="J22" s="71">
        <v>65616</v>
      </c>
    </row>
    <row r="23" spans="1:10" ht="13.5" customHeight="1">
      <c r="A23" s="383" t="s">
        <v>2291</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c r="I25" s="71"/>
      <c r="J25" s="71"/>
    </row>
    <row r="26" spans="1:10" ht="13.5" customHeight="1">
      <c r="A26" s="383" t="s">
        <v>1084</v>
      </c>
      <c r="B26" s="383"/>
      <c r="C26" s="383"/>
      <c r="D26" s="383"/>
      <c r="E26" s="383"/>
      <c r="F26" s="383"/>
      <c r="G26" s="19">
        <v>18</v>
      </c>
      <c r="H26" s="20"/>
      <c r="I26" s="71"/>
      <c r="J26" s="71"/>
    </row>
    <row r="27" spans="1:10" ht="13.5" customHeight="1">
      <c r="A27" s="383" t="s">
        <v>1085</v>
      </c>
      <c r="B27" s="383"/>
      <c r="C27" s="383"/>
      <c r="D27" s="383"/>
      <c r="E27" s="383"/>
      <c r="F27" s="383"/>
      <c r="G27" s="19">
        <v>19</v>
      </c>
      <c r="H27" s="20"/>
      <c r="I27" s="71"/>
      <c r="J27" s="71"/>
    </row>
    <row r="28" spans="1:10" ht="13.5" customHeight="1">
      <c r="A28" s="384" t="s">
        <v>2644</v>
      </c>
      <c r="B28" s="384"/>
      <c r="C28" s="384"/>
      <c r="D28" s="384"/>
      <c r="E28" s="384"/>
      <c r="F28" s="384"/>
      <c r="G28" s="19">
        <v>20</v>
      </c>
      <c r="H28" s="20"/>
      <c r="I28" s="70">
        <f>SUM(I29:I38)</f>
        <v>2986900</v>
      </c>
      <c r="J28" s="70">
        <f>SUM(J29:J38)</f>
        <v>2986900</v>
      </c>
    </row>
    <row r="29" spans="1:10" ht="13.5" customHeight="1">
      <c r="A29" s="383" t="s">
        <v>399</v>
      </c>
      <c r="B29" s="383"/>
      <c r="C29" s="383"/>
      <c r="D29" s="383"/>
      <c r="E29" s="383"/>
      <c r="F29" s="383"/>
      <c r="G29" s="19">
        <v>21</v>
      </c>
      <c r="H29" s="20"/>
      <c r="I29" s="71">
        <v>1071700</v>
      </c>
      <c r="J29" s="71">
        <v>1071700</v>
      </c>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v>1915200</v>
      </c>
      <c r="J36" s="71">
        <v>1915200</v>
      </c>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2645</v>
      </c>
      <c r="B39" s="384"/>
      <c r="C39" s="384"/>
      <c r="D39" s="384"/>
      <c r="E39" s="384"/>
      <c r="F39" s="384"/>
      <c r="G39" s="19">
        <v>31</v>
      </c>
      <c r="H39" s="20"/>
      <c r="I39" s="70">
        <f>SUM(I40:I43)</f>
        <v>116351</v>
      </c>
      <c r="J39" s="70">
        <f>SUM(J40:J43)</f>
        <v>116351</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v>116351</v>
      </c>
      <c r="J43" s="71">
        <v>116351</v>
      </c>
    </row>
    <row r="44" spans="1:10" ht="13.5" customHeight="1">
      <c r="A44" s="384" t="s">
        <v>655</v>
      </c>
      <c r="B44" s="384"/>
      <c r="C44" s="384"/>
      <c r="D44" s="384"/>
      <c r="E44" s="384"/>
      <c r="F44" s="384"/>
      <c r="G44" s="19">
        <v>36</v>
      </c>
      <c r="H44" s="20"/>
      <c r="I44" s="71"/>
      <c r="J44" s="71"/>
    </row>
    <row r="45" spans="1:10" ht="13.5" customHeight="1">
      <c r="A45" s="381" t="s">
        <v>2646</v>
      </c>
      <c r="B45" s="381"/>
      <c r="C45" s="381"/>
      <c r="D45" s="381"/>
      <c r="E45" s="381"/>
      <c r="F45" s="381"/>
      <c r="G45" s="19">
        <v>37</v>
      </c>
      <c r="H45" s="20"/>
      <c r="I45" s="70">
        <f>I46+I54+I61+I71</f>
        <v>1127318</v>
      </c>
      <c r="J45" s="70">
        <f>J46+J54+J61+J71</f>
        <v>2988446</v>
      </c>
    </row>
    <row r="46" spans="1:10" ht="13.5" customHeight="1">
      <c r="A46" s="384" t="s">
        <v>2647</v>
      </c>
      <c r="B46" s="384"/>
      <c r="C46" s="384"/>
      <c r="D46" s="384"/>
      <c r="E46" s="384"/>
      <c r="F46" s="384"/>
      <c r="G46" s="19">
        <v>38</v>
      </c>
      <c r="H46" s="20"/>
      <c r="I46" s="70">
        <f>SUM(I47:I53)</f>
        <v>0</v>
      </c>
      <c r="J46" s="70">
        <f>SUM(J47:J53)</f>
        <v>0</v>
      </c>
    </row>
    <row r="47" spans="1:10" ht="13.5" customHeight="1">
      <c r="A47" s="383" t="s">
        <v>970</v>
      </c>
      <c r="B47" s="383"/>
      <c r="C47" s="383"/>
      <c r="D47" s="383"/>
      <c r="E47" s="383"/>
      <c r="F47" s="383"/>
      <c r="G47" s="19">
        <v>39</v>
      </c>
      <c r="H47" s="20"/>
      <c r="I47" s="71"/>
      <c r="J47" s="71"/>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c r="J50" s="71"/>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2648</v>
      </c>
      <c r="B54" s="384"/>
      <c r="C54" s="384"/>
      <c r="D54" s="384"/>
      <c r="E54" s="384"/>
      <c r="F54" s="384"/>
      <c r="G54" s="19">
        <v>46</v>
      </c>
      <c r="H54" s="20"/>
      <c r="I54" s="70">
        <f>SUM(I55:I60)</f>
        <v>253583</v>
      </c>
      <c r="J54" s="70">
        <f>SUM(J55:J60)</f>
        <v>1521762</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c r="I57" s="71">
        <v>124817</v>
      </c>
      <c r="J57" s="71">
        <v>35128</v>
      </c>
    </row>
    <row r="58" spans="1:10" ht="13.5" customHeight="1">
      <c r="A58" s="383" t="s">
        <v>350</v>
      </c>
      <c r="B58" s="383"/>
      <c r="C58" s="383"/>
      <c r="D58" s="383"/>
      <c r="E58" s="383"/>
      <c r="F58" s="383"/>
      <c r="G58" s="19">
        <v>50</v>
      </c>
      <c r="H58" s="20"/>
      <c r="I58" s="71">
        <v>1859</v>
      </c>
      <c r="J58" s="71"/>
    </row>
    <row r="59" spans="1:10" ht="13.5" customHeight="1">
      <c r="A59" s="383" t="s">
        <v>351</v>
      </c>
      <c r="B59" s="383"/>
      <c r="C59" s="383"/>
      <c r="D59" s="383"/>
      <c r="E59" s="383"/>
      <c r="F59" s="383"/>
      <c r="G59" s="19">
        <v>51</v>
      </c>
      <c r="H59" s="20"/>
      <c r="I59" s="71">
        <v>7570</v>
      </c>
      <c r="J59" s="71">
        <v>6264</v>
      </c>
    </row>
    <row r="60" spans="1:10" ht="13.5" customHeight="1">
      <c r="A60" s="383" t="s">
        <v>2638</v>
      </c>
      <c r="B60" s="383"/>
      <c r="C60" s="383"/>
      <c r="D60" s="383"/>
      <c r="E60" s="383"/>
      <c r="F60" s="383"/>
      <c r="G60" s="19">
        <v>52</v>
      </c>
      <c r="H60" s="20"/>
      <c r="I60" s="71">
        <v>119337</v>
      </c>
      <c r="J60" s="71">
        <v>1480370</v>
      </c>
    </row>
    <row r="61" spans="1:10" ht="13.5" customHeight="1">
      <c r="A61" s="384" t="s">
        <v>2649</v>
      </c>
      <c r="B61" s="384"/>
      <c r="C61" s="384"/>
      <c r="D61" s="384"/>
      <c r="E61" s="384"/>
      <c r="F61" s="384"/>
      <c r="G61" s="19">
        <v>53</v>
      </c>
      <c r="H61" s="20"/>
      <c r="I61" s="70">
        <f>SUM(I62:I70)</f>
        <v>58606</v>
      </c>
      <c r="J61" s="70">
        <f>SUM(J62:J70)</f>
        <v>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v>58606</v>
      </c>
      <c r="J69" s="71"/>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c r="I71" s="71">
        <v>815129</v>
      </c>
      <c r="J71" s="71">
        <v>1466684</v>
      </c>
    </row>
    <row r="72" spans="1:10" ht="24.75" customHeight="1">
      <c r="A72" s="381" t="s">
        <v>1558</v>
      </c>
      <c r="B72" s="381"/>
      <c r="C72" s="381"/>
      <c r="D72" s="381"/>
      <c r="E72" s="381"/>
      <c r="F72" s="381"/>
      <c r="G72" s="19">
        <v>64</v>
      </c>
      <c r="H72" s="20"/>
      <c r="I72" s="71">
        <v>1139</v>
      </c>
      <c r="J72" s="71">
        <v>1563</v>
      </c>
    </row>
    <row r="73" spans="1:10" ht="13.5" customHeight="1">
      <c r="A73" s="381" t="s">
        <v>2650</v>
      </c>
      <c r="B73" s="381"/>
      <c r="C73" s="381"/>
      <c r="D73" s="381"/>
      <c r="E73" s="381"/>
      <c r="F73" s="381"/>
      <c r="G73" s="19">
        <v>65</v>
      </c>
      <c r="H73" s="20"/>
      <c r="I73" s="70">
        <f>I9+I10+I45+I72</f>
        <v>4253351</v>
      </c>
      <c r="J73" s="70">
        <f>J9+J10+J45+J72</f>
        <v>6165364</v>
      </c>
    </row>
    <row r="74" spans="1:10" ht="13.5" customHeight="1">
      <c r="A74" s="382" t="s">
        <v>257</v>
      </c>
      <c r="B74" s="382"/>
      <c r="C74" s="382"/>
      <c r="D74" s="382"/>
      <c r="E74" s="382"/>
      <c r="F74" s="382"/>
      <c r="G74" s="21">
        <v>66</v>
      </c>
      <c r="H74" s="22"/>
      <c r="I74" s="72">
        <v>10327</v>
      </c>
      <c r="J74" s="72">
        <v>15427</v>
      </c>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c r="I76" s="70">
        <f>I77+I78+I79+I85+I86+I90+I93+I96</f>
        <v>1326603</v>
      </c>
      <c r="J76" s="70">
        <f>J77+J78+J79+J85+J86+J90+J93+J96</f>
        <v>1660139</v>
      </c>
      <c r="L76" s="2" t="s">
        <v>2591</v>
      </c>
    </row>
    <row r="77" spans="1:10" ht="13.5" customHeight="1">
      <c r="A77" s="384" t="s">
        <v>935</v>
      </c>
      <c r="B77" s="384"/>
      <c r="C77" s="384"/>
      <c r="D77" s="384"/>
      <c r="E77" s="384"/>
      <c r="F77" s="384"/>
      <c r="G77" s="19">
        <v>68</v>
      </c>
      <c r="H77" s="20"/>
      <c r="I77" s="71">
        <v>868000</v>
      </c>
      <c r="J77" s="71">
        <v>868000</v>
      </c>
    </row>
    <row r="78" spans="1:12" ht="13.5" customHeight="1">
      <c r="A78" s="384" t="s">
        <v>936</v>
      </c>
      <c r="B78" s="384"/>
      <c r="C78" s="384"/>
      <c r="D78" s="384"/>
      <c r="E78" s="384"/>
      <c r="F78" s="384"/>
      <c r="G78" s="19">
        <v>69</v>
      </c>
      <c r="H78" s="20"/>
      <c r="I78" s="71"/>
      <c r="J78" s="71"/>
      <c r="L78" s="2" t="s">
        <v>2591</v>
      </c>
    </row>
    <row r="79" spans="1:12" ht="13.5" customHeight="1">
      <c r="A79" s="384" t="s">
        <v>2473</v>
      </c>
      <c r="B79" s="384"/>
      <c r="C79" s="384"/>
      <c r="D79" s="384"/>
      <c r="E79" s="384"/>
      <c r="F79" s="384"/>
      <c r="G79" s="19">
        <v>70</v>
      </c>
      <c r="H79" s="20"/>
      <c r="I79" s="70">
        <f>I80+I81-I82+I83+I84</f>
        <v>900</v>
      </c>
      <c r="J79" s="70">
        <f>J80+J81-J82+J83+J84</f>
        <v>900</v>
      </c>
      <c r="L79" s="2" t="s">
        <v>2591</v>
      </c>
    </row>
    <row r="80" spans="1:10" ht="13.5" customHeight="1">
      <c r="A80" s="383" t="s">
        <v>2641</v>
      </c>
      <c r="B80" s="383"/>
      <c r="C80" s="383"/>
      <c r="D80" s="383"/>
      <c r="E80" s="383"/>
      <c r="F80" s="383"/>
      <c r="G80" s="19">
        <v>71</v>
      </c>
      <c r="H80" s="20"/>
      <c r="I80" s="71"/>
      <c r="J80" s="71"/>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v>900</v>
      </c>
      <c r="J84" s="71">
        <v>900</v>
      </c>
    </row>
    <row r="85" spans="1:12" ht="13.5" customHeight="1">
      <c r="A85" s="384" t="s">
        <v>1606</v>
      </c>
      <c r="B85" s="384"/>
      <c r="C85" s="384"/>
      <c r="D85" s="384"/>
      <c r="E85" s="384"/>
      <c r="F85" s="384"/>
      <c r="G85" s="19">
        <v>76</v>
      </c>
      <c r="H85" s="20"/>
      <c r="I85" s="71"/>
      <c r="J85" s="71"/>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c r="I90" s="70">
        <f>I91-I92</f>
        <v>433687</v>
      </c>
      <c r="J90" s="70">
        <f>J91-J92</f>
        <v>457704</v>
      </c>
      <c r="L90" s="2" t="s">
        <v>2591</v>
      </c>
    </row>
    <row r="91" spans="1:10" ht="13.5" customHeight="1">
      <c r="A91" s="383" t="s">
        <v>1139</v>
      </c>
      <c r="B91" s="383"/>
      <c r="C91" s="383"/>
      <c r="D91" s="383"/>
      <c r="E91" s="383"/>
      <c r="F91" s="383"/>
      <c r="G91" s="19">
        <v>82</v>
      </c>
      <c r="H91" s="20"/>
      <c r="I91" s="71">
        <v>433687</v>
      </c>
      <c r="J91" s="71">
        <v>457704</v>
      </c>
    </row>
    <row r="92" spans="1:10" ht="13.5" customHeight="1">
      <c r="A92" s="383" t="s">
        <v>1140</v>
      </c>
      <c r="B92" s="383"/>
      <c r="C92" s="383"/>
      <c r="D92" s="383"/>
      <c r="E92" s="383"/>
      <c r="F92" s="383"/>
      <c r="G92" s="19">
        <v>83</v>
      </c>
      <c r="H92" s="20"/>
      <c r="I92" s="71"/>
      <c r="J92" s="71"/>
    </row>
    <row r="93" spans="1:12" ht="13.5" customHeight="1">
      <c r="A93" s="384" t="s">
        <v>2653</v>
      </c>
      <c r="B93" s="384"/>
      <c r="C93" s="384"/>
      <c r="D93" s="384"/>
      <c r="E93" s="384"/>
      <c r="F93" s="384"/>
      <c r="G93" s="19">
        <v>84</v>
      </c>
      <c r="H93" s="20"/>
      <c r="I93" s="70">
        <f>I94-I95</f>
        <v>24016</v>
      </c>
      <c r="J93" s="70">
        <f>J94-J95</f>
        <v>333535</v>
      </c>
      <c r="L93" s="2" t="s">
        <v>2591</v>
      </c>
    </row>
    <row r="94" spans="1:10" ht="13.5" customHeight="1">
      <c r="A94" s="383" t="s">
        <v>2640</v>
      </c>
      <c r="B94" s="383"/>
      <c r="C94" s="383"/>
      <c r="D94" s="383"/>
      <c r="E94" s="383"/>
      <c r="F94" s="383"/>
      <c r="G94" s="19">
        <v>85</v>
      </c>
      <c r="H94" s="20"/>
      <c r="I94" s="71">
        <v>24016</v>
      </c>
      <c r="J94" s="71">
        <v>333535</v>
      </c>
    </row>
    <row r="95" spans="1:10" ht="13.5" customHeight="1">
      <c r="A95" s="383" t="s">
        <v>1141</v>
      </c>
      <c r="B95" s="383"/>
      <c r="C95" s="383"/>
      <c r="D95" s="383"/>
      <c r="E95" s="383"/>
      <c r="F95" s="383"/>
      <c r="G95" s="19">
        <v>86</v>
      </c>
      <c r="H95" s="20"/>
      <c r="I95" s="71"/>
      <c r="J95" s="71"/>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c r="I97" s="70">
        <f>SUM(I98:I103)</f>
        <v>0</v>
      </c>
      <c r="J97" s="70">
        <f>SUM(J98:J103)</f>
        <v>0</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c r="J100" s="71"/>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row>
    <row r="104" spans="1:10" ht="13.5" customHeight="1">
      <c r="A104" s="381" t="s">
        <v>2655</v>
      </c>
      <c r="B104" s="381"/>
      <c r="C104" s="381"/>
      <c r="D104" s="381"/>
      <c r="E104" s="381"/>
      <c r="F104" s="381"/>
      <c r="G104" s="19">
        <v>95</v>
      </c>
      <c r="H104" s="20"/>
      <c r="I104" s="70">
        <f>SUM(I105:I115)</f>
        <v>2031551</v>
      </c>
      <c r="J104" s="70">
        <f>SUM(J105:J115)</f>
        <v>2031551</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c r="J110" s="71"/>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v>2031551</v>
      </c>
      <c r="J114" s="71">
        <v>2031551</v>
      </c>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c r="I116" s="70">
        <f>SUM(I117:I130)</f>
        <v>301543</v>
      </c>
      <c r="J116" s="70">
        <f>SUM(J117:J130)</f>
        <v>749043</v>
      </c>
    </row>
    <row r="117" spans="1:10" ht="13.5" customHeight="1">
      <c r="A117" s="383" t="s">
        <v>2193</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c r="J121" s="71">
        <v>350000</v>
      </c>
    </row>
    <row r="122" spans="1:10" ht="13.5" customHeight="1">
      <c r="A122" s="383" t="s">
        <v>362</v>
      </c>
      <c r="B122" s="383"/>
      <c r="C122" s="383"/>
      <c r="D122" s="383"/>
      <c r="E122" s="383"/>
      <c r="F122" s="383"/>
      <c r="G122" s="19">
        <v>113</v>
      </c>
      <c r="H122" s="20"/>
      <c r="I122" s="71"/>
      <c r="J122" s="71"/>
    </row>
    <row r="123" spans="1:10" ht="13.5" customHeight="1">
      <c r="A123" s="383" t="s">
        <v>357</v>
      </c>
      <c r="B123" s="383"/>
      <c r="C123" s="383"/>
      <c r="D123" s="383"/>
      <c r="E123" s="383"/>
      <c r="F123" s="383"/>
      <c r="G123" s="19">
        <v>114</v>
      </c>
      <c r="H123" s="20"/>
      <c r="I123" s="71"/>
      <c r="J123" s="71"/>
    </row>
    <row r="124" spans="1:10" ht="13.5" customHeight="1">
      <c r="A124" s="383" t="s">
        <v>358</v>
      </c>
      <c r="B124" s="383"/>
      <c r="C124" s="383"/>
      <c r="D124" s="383"/>
      <c r="E124" s="383"/>
      <c r="F124" s="383"/>
      <c r="G124" s="19">
        <v>115</v>
      </c>
      <c r="H124" s="20"/>
      <c r="I124" s="71">
        <v>71402</v>
      </c>
      <c r="J124" s="71">
        <v>103049</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v>114346</v>
      </c>
      <c r="J126" s="71">
        <v>142539</v>
      </c>
    </row>
    <row r="127" spans="1:10" ht="13.5" customHeight="1">
      <c r="A127" s="383" t="s">
        <v>364</v>
      </c>
      <c r="B127" s="383"/>
      <c r="C127" s="383"/>
      <c r="D127" s="383"/>
      <c r="E127" s="383"/>
      <c r="F127" s="383"/>
      <c r="G127" s="19">
        <v>118</v>
      </c>
      <c r="H127" s="20"/>
      <c r="I127" s="71">
        <v>113501</v>
      </c>
      <c r="J127" s="71">
        <v>151161</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v>2294</v>
      </c>
      <c r="J130" s="71">
        <v>2294</v>
      </c>
    </row>
    <row r="131" spans="1:10" ht="24.75" customHeight="1">
      <c r="A131" s="381" t="s">
        <v>1560</v>
      </c>
      <c r="B131" s="381"/>
      <c r="C131" s="381"/>
      <c r="D131" s="381"/>
      <c r="E131" s="381"/>
      <c r="F131" s="381"/>
      <c r="G131" s="19">
        <v>122</v>
      </c>
      <c r="H131" s="20"/>
      <c r="I131" s="71">
        <v>593654</v>
      </c>
      <c r="J131" s="71">
        <v>1724631</v>
      </c>
    </row>
    <row r="132" spans="1:10" ht="13.5" customHeight="1">
      <c r="A132" s="381" t="s">
        <v>2657</v>
      </c>
      <c r="B132" s="381"/>
      <c r="C132" s="381"/>
      <c r="D132" s="381"/>
      <c r="E132" s="381"/>
      <c r="F132" s="381"/>
      <c r="G132" s="19">
        <v>123</v>
      </c>
      <c r="H132" s="20"/>
      <c r="I132" s="70">
        <f>I76+I97+I104+I116+I131</f>
        <v>4253351</v>
      </c>
      <c r="J132" s="70">
        <f>J76+J97+J104+J116+J131</f>
        <v>6165364</v>
      </c>
    </row>
    <row r="133" spans="1:10" ht="13.5" customHeight="1">
      <c r="A133" s="382" t="s">
        <v>662</v>
      </c>
      <c r="B133" s="382"/>
      <c r="C133" s="382"/>
      <c r="D133" s="382"/>
      <c r="E133" s="382"/>
      <c r="F133" s="382"/>
      <c r="G133" s="21">
        <v>124</v>
      </c>
      <c r="H133" s="22"/>
      <c r="I133" s="72">
        <v>10327</v>
      </c>
      <c r="J133" s="72">
        <v>15427</v>
      </c>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9:F9"/>
    <mergeCell ref="A10:F10"/>
    <mergeCell ref="A11:F11"/>
    <mergeCell ref="A12:F12"/>
    <mergeCell ref="A27:F27"/>
    <mergeCell ref="A28:F28"/>
    <mergeCell ref="A23:F23"/>
    <mergeCell ref="A24:F24"/>
    <mergeCell ref="A89:F89"/>
    <mergeCell ref="A90:F90"/>
    <mergeCell ref="A29:F29"/>
    <mergeCell ref="A30:F30"/>
    <mergeCell ref="A31:F31"/>
    <mergeCell ref="A32:F32"/>
    <mergeCell ref="A38:F38"/>
    <mergeCell ref="A39:F39"/>
    <mergeCell ref="A19:F19"/>
    <mergeCell ref="A20:F20"/>
    <mergeCell ref="A33:F33"/>
    <mergeCell ref="A107:F107"/>
    <mergeCell ref="A102:F102"/>
    <mergeCell ref="A103:F103"/>
    <mergeCell ref="A104:F104"/>
    <mergeCell ref="A105:F105"/>
    <mergeCell ref="A21:F21"/>
    <mergeCell ref="A22:F22"/>
    <mergeCell ref="A98:F98"/>
    <mergeCell ref="A106:F106"/>
    <mergeCell ref="A87:F87"/>
    <mergeCell ref="A88:F88"/>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2" activePane="bottomLeft" state="frozen"/>
      <selection pane="topLeft" activeCell="A1" sqref="A1"/>
      <selection pane="bottomLeft" activeCell="J56" sqref="J56"/>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4" t="s">
        <v>139</v>
      </c>
      <c r="B2" s="412"/>
      <c r="C2" s="412"/>
      <c r="D2" s="412"/>
      <c r="E2" s="412"/>
      <c r="F2" s="412"/>
      <c r="G2" s="412"/>
      <c r="H2" s="412"/>
      <c r="I2" s="413"/>
      <c r="J2" s="392" t="s">
        <v>2592</v>
      </c>
      <c r="Q2" s="74">
        <f>IF(OR(MIN(I8:I105)&lt;0,MAX(I8:I105)&gt;0),1,0)</f>
        <v>1</v>
      </c>
      <c r="R2" s="73" t="s">
        <v>2586</v>
      </c>
    </row>
    <row r="3" spans="1:18" s="2" customFormat="1" ht="19.5" customHeight="1" thickBot="1">
      <c r="A3" s="397" t="str">
        <f>"za razdoblje "&amp;IF(RefStr!C4&lt;&gt;"",TEXT(RefStr!C4,"DD.MM.YYYY."),"__.__.____.")&amp;" do "&amp;IF(RefStr!F4&lt;&gt;"",TEXT(RefStr!F4,"DD.MM.YYYY."),"__.__.____.")</f>
        <v>za razdoblje 01.01.2017. do 31.12.2017.</v>
      </c>
      <c r="B3" s="414"/>
      <c r="C3" s="414"/>
      <c r="D3" s="414"/>
      <c r="E3" s="414"/>
      <c r="F3" s="414"/>
      <c r="G3" s="414"/>
      <c r="H3" s="414"/>
      <c r="I3" s="415"/>
      <c r="J3" s="393"/>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09" t="str">
        <f>"Obveznik: "&amp;IF(RefStr!C27&lt;&gt;"",RefStr!C27,"________")&amp;"; "&amp;IF(RefStr!C29&lt;&gt;"",RefStr!C29,"________________________________________________________"&amp;"; "&amp;IF(RefStr!F31&lt;&gt;"",RefStr!F31,"_______________"))</f>
        <v>Obveznik: 61539263602; REDEA d.o.o.</v>
      </c>
      <c r="B5" s="410"/>
      <c r="C5" s="410"/>
      <c r="D5" s="410"/>
      <c r="E5" s="410"/>
      <c r="F5" s="410"/>
      <c r="G5" s="410"/>
      <c r="H5" s="410"/>
      <c r="I5" s="410"/>
      <c r="J5" s="411"/>
      <c r="Q5" s="2">
        <f>IF(OR(MIN(I85:I87,I103:I105)&lt;0,MAX(I85:I87,I103:I105)&gt;0),1,0)</f>
        <v>0</v>
      </c>
      <c r="R5" s="73" t="s">
        <v>2588</v>
      </c>
    </row>
    <row r="6" spans="1:18" s="2" customFormat="1" ht="24.75" customHeight="1" thickBot="1">
      <c r="A6" s="387" t="s">
        <v>719</v>
      </c>
      <c r="B6" s="388"/>
      <c r="C6" s="388"/>
      <c r="D6" s="388"/>
      <c r="E6" s="388"/>
      <c r="F6" s="388"/>
      <c r="G6" s="97" t="s">
        <v>799</v>
      </c>
      <c r="H6" s="97" t="s">
        <v>1968</v>
      </c>
      <c r="I6" s="102" t="s">
        <v>459</v>
      </c>
      <c r="J6" s="103" t="s">
        <v>460</v>
      </c>
      <c r="Q6" s="2">
        <f>IF(OR(MIN(J85:J87,J103:J105)&lt;0,MAX(J85:J87,J103:J105)&gt;0),1,0)</f>
        <v>0</v>
      </c>
      <c r="R6" s="73" t="s">
        <v>2589</v>
      </c>
    </row>
    <row r="7" spans="1:18" s="2" customFormat="1" ht="13.5" customHeight="1">
      <c r="A7" s="389">
        <v>1</v>
      </c>
      <c r="B7" s="390"/>
      <c r="C7" s="390"/>
      <c r="D7" s="390"/>
      <c r="E7" s="390"/>
      <c r="F7" s="390"/>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2393796</v>
      </c>
      <c r="J8" s="84">
        <f>SUM(J9:J13)</f>
        <v>3789693</v>
      </c>
      <c r="Q8" s="2">
        <f>IF(OR(MIN(I70:J75)&lt;&gt;0,MAX(I70:J75)&lt;&gt;0),1,0)</f>
        <v>0</v>
      </c>
      <c r="R8" s="73" t="s">
        <v>2597</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c r="I10" s="71">
        <v>1987601</v>
      </c>
      <c r="J10" s="71">
        <v>1699521</v>
      </c>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c r="I13" s="71">
        <v>406195</v>
      </c>
      <c r="J13" s="71">
        <v>2090172</v>
      </c>
    </row>
    <row r="14" spans="1:10" s="2" customFormat="1" ht="13.5" customHeight="1">
      <c r="A14" s="381" t="s">
        <v>1837</v>
      </c>
      <c r="B14" s="381"/>
      <c r="C14" s="381"/>
      <c r="D14" s="381"/>
      <c r="E14" s="381"/>
      <c r="F14" s="381"/>
      <c r="G14" s="19">
        <v>131</v>
      </c>
      <c r="H14" s="20"/>
      <c r="I14" s="70">
        <f>I15+I16+I20+I24+I25+I26+I29+I36</f>
        <v>2574903</v>
      </c>
      <c r="J14" s="70">
        <f>J15+J16+J20+J24+J25+J26+J29+J36</f>
        <v>3445253</v>
      </c>
    </row>
    <row r="15" spans="1:12" s="2" customFormat="1" ht="13.5" customHeight="1">
      <c r="A15" s="383" t="s">
        <v>258</v>
      </c>
      <c r="B15" s="383"/>
      <c r="C15" s="383"/>
      <c r="D15" s="383"/>
      <c r="E15" s="383"/>
      <c r="F15" s="383"/>
      <c r="G15" s="19">
        <v>132</v>
      </c>
      <c r="H15" s="20"/>
      <c r="I15" s="71"/>
      <c r="J15" s="71"/>
      <c r="L15" s="2" t="s">
        <v>2591</v>
      </c>
    </row>
    <row r="16" spans="1:10" s="2" customFormat="1" ht="13.5" customHeight="1">
      <c r="A16" s="383" t="s">
        <v>1838</v>
      </c>
      <c r="B16" s="383"/>
      <c r="C16" s="383"/>
      <c r="D16" s="383"/>
      <c r="E16" s="383"/>
      <c r="F16" s="383"/>
      <c r="G16" s="19">
        <v>133</v>
      </c>
      <c r="H16" s="20"/>
      <c r="I16" s="70">
        <f>SUM(I17:I19)</f>
        <v>424308</v>
      </c>
      <c r="J16" s="70">
        <f>SUM(J17:J19)</f>
        <v>802107</v>
      </c>
    </row>
    <row r="17" spans="1:10" s="2" customFormat="1" ht="13.5" customHeight="1">
      <c r="A17" s="418" t="s">
        <v>504</v>
      </c>
      <c r="B17" s="418"/>
      <c r="C17" s="418"/>
      <c r="D17" s="418"/>
      <c r="E17" s="418"/>
      <c r="F17" s="418"/>
      <c r="G17" s="19">
        <v>134</v>
      </c>
      <c r="H17" s="20"/>
      <c r="I17" s="71">
        <v>66766</v>
      </c>
      <c r="J17" s="71">
        <v>117980</v>
      </c>
    </row>
    <row r="18" spans="1:10" s="2" customFormat="1" ht="13.5" customHeight="1">
      <c r="A18" s="418" t="s">
        <v>505</v>
      </c>
      <c r="B18" s="418"/>
      <c r="C18" s="418"/>
      <c r="D18" s="418"/>
      <c r="E18" s="418"/>
      <c r="F18" s="418"/>
      <c r="G18" s="19">
        <v>135</v>
      </c>
      <c r="H18" s="20"/>
      <c r="I18" s="71"/>
      <c r="J18" s="71"/>
    </row>
    <row r="19" spans="1:10" s="2" customFormat="1" ht="13.5" customHeight="1">
      <c r="A19" s="418" t="s">
        <v>1426</v>
      </c>
      <c r="B19" s="418"/>
      <c r="C19" s="418"/>
      <c r="D19" s="418"/>
      <c r="E19" s="418"/>
      <c r="F19" s="418"/>
      <c r="G19" s="19">
        <v>136</v>
      </c>
      <c r="H19" s="20"/>
      <c r="I19" s="71">
        <v>357542</v>
      </c>
      <c r="J19" s="71">
        <v>684127</v>
      </c>
    </row>
    <row r="20" spans="1:10" s="2" customFormat="1" ht="13.5" customHeight="1">
      <c r="A20" s="383" t="s">
        <v>1839</v>
      </c>
      <c r="B20" s="383"/>
      <c r="C20" s="383"/>
      <c r="D20" s="383"/>
      <c r="E20" s="383"/>
      <c r="F20" s="383"/>
      <c r="G20" s="19">
        <v>137</v>
      </c>
      <c r="H20" s="20"/>
      <c r="I20" s="70">
        <f>SUM(I21:I23)</f>
        <v>1921716</v>
      </c>
      <c r="J20" s="70">
        <f>SUM(J21:J23)</f>
        <v>2253445</v>
      </c>
    </row>
    <row r="21" spans="1:10" s="2" customFormat="1" ht="13.5" customHeight="1">
      <c r="A21" s="418" t="s">
        <v>724</v>
      </c>
      <c r="B21" s="418"/>
      <c r="C21" s="418"/>
      <c r="D21" s="418"/>
      <c r="E21" s="418"/>
      <c r="F21" s="418"/>
      <c r="G21" s="19">
        <v>138</v>
      </c>
      <c r="H21" s="20"/>
      <c r="I21" s="71">
        <v>1157695</v>
      </c>
      <c r="J21" s="71">
        <v>1385543</v>
      </c>
    </row>
    <row r="22" spans="1:10" s="2" customFormat="1" ht="13.5" customHeight="1">
      <c r="A22" s="418" t="s">
        <v>961</v>
      </c>
      <c r="B22" s="418"/>
      <c r="C22" s="418"/>
      <c r="D22" s="418"/>
      <c r="E22" s="418"/>
      <c r="F22" s="418"/>
      <c r="G22" s="19">
        <v>139</v>
      </c>
      <c r="H22" s="20"/>
      <c r="I22" s="71">
        <v>484586</v>
      </c>
      <c r="J22" s="71">
        <v>553358</v>
      </c>
    </row>
    <row r="23" spans="1:10" s="2" customFormat="1" ht="13.5" customHeight="1">
      <c r="A23" s="418" t="s">
        <v>962</v>
      </c>
      <c r="B23" s="418"/>
      <c r="C23" s="418"/>
      <c r="D23" s="418"/>
      <c r="E23" s="418"/>
      <c r="F23" s="418"/>
      <c r="G23" s="19">
        <v>140</v>
      </c>
      <c r="H23" s="20"/>
      <c r="I23" s="71">
        <v>279435</v>
      </c>
      <c r="J23" s="71">
        <v>314544</v>
      </c>
    </row>
    <row r="24" spans="1:10" s="2" customFormat="1" ht="13.5" customHeight="1">
      <c r="A24" s="383" t="s">
        <v>259</v>
      </c>
      <c r="B24" s="383"/>
      <c r="C24" s="383"/>
      <c r="D24" s="383"/>
      <c r="E24" s="383"/>
      <c r="F24" s="383"/>
      <c r="G24" s="19">
        <v>141</v>
      </c>
      <c r="H24" s="20"/>
      <c r="I24" s="71">
        <v>8974</v>
      </c>
      <c r="J24" s="71">
        <v>15705</v>
      </c>
    </row>
    <row r="25" spans="1:10" s="2" customFormat="1" ht="13.5" customHeight="1">
      <c r="A25" s="383" t="s">
        <v>260</v>
      </c>
      <c r="B25" s="383"/>
      <c r="C25" s="383"/>
      <c r="D25" s="383"/>
      <c r="E25" s="383"/>
      <c r="F25" s="383"/>
      <c r="G25" s="19">
        <v>142</v>
      </c>
      <c r="H25" s="20"/>
      <c r="I25" s="71">
        <v>204710</v>
      </c>
      <c r="J25" s="71">
        <v>364355</v>
      </c>
    </row>
    <row r="26" spans="1:12" s="2" customFormat="1" ht="13.5" customHeight="1">
      <c r="A26" s="383" t="s">
        <v>1840</v>
      </c>
      <c r="B26" s="383"/>
      <c r="C26" s="383"/>
      <c r="D26" s="383"/>
      <c r="E26" s="383"/>
      <c r="F26" s="383"/>
      <c r="G26" s="19">
        <v>143</v>
      </c>
      <c r="H26" s="20"/>
      <c r="I26" s="70">
        <f>SUM(I27:I28)</f>
        <v>0</v>
      </c>
      <c r="J26" s="70">
        <f>SUM(J27:J28)</f>
        <v>0</v>
      </c>
      <c r="L26" s="2" t="s">
        <v>2591</v>
      </c>
    </row>
    <row r="27" spans="1:12" s="2" customFormat="1" ht="13.5" customHeight="1">
      <c r="A27" s="418" t="s">
        <v>506</v>
      </c>
      <c r="B27" s="418"/>
      <c r="C27" s="418"/>
      <c r="D27" s="418"/>
      <c r="E27" s="418"/>
      <c r="F27" s="418"/>
      <c r="G27" s="19">
        <v>144</v>
      </c>
      <c r="H27" s="20"/>
      <c r="I27" s="71"/>
      <c r="J27" s="71"/>
      <c r="L27" s="2" t="s">
        <v>2591</v>
      </c>
    </row>
    <row r="28" spans="1:12" s="2" customFormat="1" ht="13.5" customHeight="1">
      <c r="A28" s="418" t="s">
        <v>507</v>
      </c>
      <c r="B28" s="418"/>
      <c r="C28" s="418"/>
      <c r="D28" s="418"/>
      <c r="E28" s="418"/>
      <c r="F28" s="418"/>
      <c r="G28" s="19">
        <v>145</v>
      </c>
      <c r="H28" s="20"/>
      <c r="I28" s="71"/>
      <c r="J28" s="71"/>
      <c r="L28" s="2" t="s">
        <v>2591</v>
      </c>
    </row>
    <row r="29" spans="1:12" s="2" customFormat="1" ht="13.5" customHeight="1">
      <c r="A29" s="383" t="s">
        <v>1841</v>
      </c>
      <c r="B29" s="383"/>
      <c r="C29" s="383"/>
      <c r="D29" s="383"/>
      <c r="E29" s="383"/>
      <c r="F29" s="383"/>
      <c r="G29" s="19">
        <v>146</v>
      </c>
      <c r="H29" s="20"/>
      <c r="I29" s="70">
        <f>SUM(I30:I35)</f>
        <v>0</v>
      </c>
      <c r="J29" s="70">
        <f>SUM(J30:J35)</f>
        <v>0</v>
      </c>
      <c r="L29" s="2" t="s">
        <v>2591</v>
      </c>
    </row>
    <row r="30" spans="1:12" s="2" customFormat="1" ht="13.5" customHeight="1">
      <c r="A30" s="418" t="s">
        <v>508</v>
      </c>
      <c r="B30" s="418"/>
      <c r="C30" s="418"/>
      <c r="D30" s="418"/>
      <c r="E30" s="418"/>
      <c r="F30" s="418"/>
      <c r="G30" s="19">
        <v>147</v>
      </c>
      <c r="H30" s="20"/>
      <c r="I30" s="71"/>
      <c r="J30" s="71"/>
      <c r="L30" s="2" t="s">
        <v>2591</v>
      </c>
    </row>
    <row r="31" spans="1:12" s="2" customFormat="1" ht="13.5" customHeight="1">
      <c r="A31" s="418" t="s">
        <v>509</v>
      </c>
      <c r="B31" s="418"/>
      <c r="C31" s="418"/>
      <c r="D31" s="418"/>
      <c r="E31" s="418"/>
      <c r="F31" s="418"/>
      <c r="G31" s="19">
        <v>148</v>
      </c>
      <c r="H31" s="20"/>
      <c r="I31" s="71"/>
      <c r="J31" s="71"/>
      <c r="L31" s="2" t="s">
        <v>2591</v>
      </c>
    </row>
    <row r="32" spans="1:12" s="2" customFormat="1" ht="13.5" customHeight="1">
      <c r="A32" s="418" t="s">
        <v>510</v>
      </c>
      <c r="B32" s="418"/>
      <c r="C32" s="418"/>
      <c r="D32" s="418"/>
      <c r="E32" s="418"/>
      <c r="F32" s="418"/>
      <c r="G32" s="19">
        <v>149</v>
      </c>
      <c r="H32" s="20"/>
      <c r="I32" s="71"/>
      <c r="J32" s="71"/>
      <c r="L32" s="2" t="s">
        <v>2591</v>
      </c>
    </row>
    <row r="33" spans="1:12" s="2" customFormat="1" ht="13.5" customHeight="1">
      <c r="A33" s="418" t="s">
        <v>511</v>
      </c>
      <c r="B33" s="418"/>
      <c r="C33" s="418"/>
      <c r="D33" s="418"/>
      <c r="E33" s="418"/>
      <c r="F33" s="418"/>
      <c r="G33" s="19">
        <v>150</v>
      </c>
      <c r="H33" s="20"/>
      <c r="I33" s="71"/>
      <c r="J33" s="71"/>
      <c r="L33" s="2" t="s">
        <v>2591</v>
      </c>
    </row>
    <row r="34" spans="1:12" s="2" customFormat="1" ht="13.5" customHeight="1">
      <c r="A34" s="418" t="s">
        <v>512</v>
      </c>
      <c r="B34" s="418"/>
      <c r="C34" s="418"/>
      <c r="D34" s="418"/>
      <c r="E34" s="418"/>
      <c r="F34" s="418"/>
      <c r="G34" s="19">
        <v>151</v>
      </c>
      <c r="H34" s="20"/>
      <c r="I34" s="71"/>
      <c r="J34" s="71"/>
      <c r="L34" s="2" t="s">
        <v>2591</v>
      </c>
    </row>
    <row r="35" spans="1:12" s="2" customFormat="1" ht="13.5" customHeight="1">
      <c r="A35" s="418" t="s">
        <v>513</v>
      </c>
      <c r="B35" s="418"/>
      <c r="C35" s="418"/>
      <c r="D35" s="418"/>
      <c r="E35" s="418"/>
      <c r="F35" s="418"/>
      <c r="G35" s="19">
        <v>152</v>
      </c>
      <c r="H35" s="20"/>
      <c r="I35" s="71"/>
      <c r="J35" s="71"/>
      <c r="L35" s="2" t="s">
        <v>2591</v>
      </c>
    </row>
    <row r="36" spans="1:10" s="2" customFormat="1" ht="13.5" customHeight="1">
      <c r="A36" s="383" t="s">
        <v>1692</v>
      </c>
      <c r="B36" s="383"/>
      <c r="C36" s="383"/>
      <c r="D36" s="383"/>
      <c r="E36" s="383"/>
      <c r="F36" s="383"/>
      <c r="G36" s="19">
        <v>153</v>
      </c>
      <c r="H36" s="20"/>
      <c r="I36" s="71">
        <v>15195</v>
      </c>
      <c r="J36" s="71">
        <v>9641</v>
      </c>
    </row>
    <row r="37" spans="1:10" s="2" customFormat="1" ht="13.5" customHeight="1">
      <c r="A37" s="381" t="s">
        <v>1842</v>
      </c>
      <c r="B37" s="381"/>
      <c r="C37" s="381"/>
      <c r="D37" s="381"/>
      <c r="E37" s="381"/>
      <c r="F37" s="381"/>
      <c r="G37" s="19">
        <v>154</v>
      </c>
      <c r="H37" s="20"/>
      <c r="I37" s="70">
        <f>SUM(I38:I47)</f>
        <v>217577</v>
      </c>
      <c r="J37" s="70">
        <f>SUM(J38:J47)</f>
        <v>74549</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v>217577</v>
      </c>
      <c r="J44" s="71">
        <v>72085</v>
      </c>
    </row>
    <row r="45" spans="1:10" s="2" customFormat="1" ht="13.5" customHeight="1">
      <c r="A45" s="383" t="s">
        <v>1428</v>
      </c>
      <c r="B45" s="383"/>
      <c r="C45" s="383"/>
      <c r="D45" s="383"/>
      <c r="E45" s="383"/>
      <c r="F45" s="383"/>
      <c r="G45" s="19">
        <v>162</v>
      </c>
      <c r="H45" s="20"/>
      <c r="I45" s="71"/>
      <c r="J45" s="71">
        <v>2464</v>
      </c>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c r="J47" s="71"/>
    </row>
    <row r="48" spans="1:10" s="2" customFormat="1" ht="13.5" customHeight="1">
      <c r="A48" s="381" t="s">
        <v>1843</v>
      </c>
      <c r="B48" s="381"/>
      <c r="C48" s="381"/>
      <c r="D48" s="381"/>
      <c r="E48" s="381"/>
      <c r="F48" s="381"/>
      <c r="G48" s="19">
        <v>165</v>
      </c>
      <c r="H48" s="20"/>
      <c r="I48" s="70">
        <f>SUM(I49:I55)</f>
        <v>1616</v>
      </c>
      <c r="J48" s="70">
        <f>SUM(J49:J55)</f>
        <v>4129</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v>873</v>
      </c>
      <c r="J51" s="71">
        <v>384</v>
      </c>
    </row>
    <row r="52" spans="1:10" s="2" customFormat="1" ht="13.5" customHeight="1">
      <c r="A52" s="403" t="s">
        <v>1439</v>
      </c>
      <c r="B52" s="403"/>
      <c r="C52" s="403"/>
      <c r="D52" s="403"/>
      <c r="E52" s="403"/>
      <c r="F52" s="403"/>
      <c r="G52" s="19">
        <v>169</v>
      </c>
      <c r="H52" s="20"/>
      <c r="I52" s="71">
        <v>743</v>
      </c>
      <c r="J52" s="71">
        <v>3745</v>
      </c>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2611373</v>
      </c>
      <c r="J60" s="70">
        <f>J8+J37+J56+J57</f>
        <v>3864242</v>
      </c>
    </row>
    <row r="61" spans="1:10" s="2" customFormat="1" ht="13.5" customHeight="1">
      <c r="A61" s="381" t="s">
        <v>1845</v>
      </c>
      <c r="B61" s="381"/>
      <c r="C61" s="381"/>
      <c r="D61" s="381"/>
      <c r="E61" s="381"/>
      <c r="F61" s="381"/>
      <c r="G61" s="19">
        <v>178</v>
      </c>
      <c r="H61" s="20"/>
      <c r="I61" s="70">
        <f>I14+I48+I58+I59</f>
        <v>2576519</v>
      </c>
      <c r="J61" s="70">
        <f>J14+J48+J58+J59</f>
        <v>3449382</v>
      </c>
    </row>
    <row r="62" spans="1:12" s="2" customFormat="1" ht="13.5" customHeight="1">
      <c r="A62" s="381" t="s">
        <v>2581</v>
      </c>
      <c r="B62" s="381"/>
      <c r="C62" s="381"/>
      <c r="D62" s="381"/>
      <c r="E62" s="381"/>
      <c r="F62" s="381"/>
      <c r="G62" s="19">
        <v>179</v>
      </c>
      <c r="H62" s="20"/>
      <c r="I62" s="70">
        <f>I60-I61</f>
        <v>34854</v>
      </c>
      <c r="J62" s="70">
        <f>J60-J61</f>
        <v>414860</v>
      </c>
      <c r="L62" s="2" t="s">
        <v>2591</v>
      </c>
    </row>
    <row r="63" spans="1:10" s="2" customFormat="1" ht="13.5" customHeight="1">
      <c r="A63" s="403" t="s">
        <v>2658</v>
      </c>
      <c r="B63" s="403"/>
      <c r="C63" s="403"/>
      <c r="D63" s="403"/>
      <c r="E63" s="403"/>
      <c r="F63" s="403"/>
      <c r="G63" s="19">
        <v>180</v>
      </c>
      <c r="H63" s="20"/>
      <c r="I63" s="70">
        <f>IF(I60&gt;I61,I60-I61,0)</f>
        <v>34854</v>
      </c>
      <c r="J63" s="70">
        <f>IF(J60&gt;J61,J60-J61,0)</f>
        <v>414860</v>
      </c>
    </row>
    <row r="64" spans="1:10" s="2" customFormat="1" ht="13.5" customHeight="1">
      <c r="A64" s="403" t="s">
        <v>778</v>
      </c>
      <c r="B64" s="403"/>
      <c r="C64" s="403"/>
      <c r="D64" s="403"/>
      <c r="E64" s="403"/>
      <c r="F64" s="403"/>
      <c r="G64" s="19">
        <v>181</v>
      </c>
      <c r="H64" s="20"/>
      <c r="I64" s="70">
        <f>IF(I61&gt;I60,I61-I60,0)</f>
        <v>0</v>
      </c>
      <c r="J64" s="70">
        <f>IF(J61&gt;J60,J61-J60,0)</f>
        <v>0</v>
      </c>
    </row>
    <row r="65" spans="1:12" s="2" customFormat="1" ht="13.5" customHeight="1">
      <c r="A65" s="381" t="s">
        <v>2620</v>
      </c>
      <c r="B65" s="381"/>
      <c r="C65" s="381"/>
      <c r="D65" s="381"/>
      <c r="E65" s="381"/>
      <c r="F65" s="381"/>
      <c r="G65" s="19">
        <v>182</v>
      </c>
      <c r="H65" s="20"/>
      <c r="I65" s="71">
        <v>10838</v>
      </c>
      <c r="J65" s="71">
        <v>81325</v>
      </c>
      <c r="L65" s="2" t="s">
        <v>2591</v>
      </c>
    </row>
    <row r="66" spans="1:12" s="2" customFormat="1" ht="13.5" customHeight="1">
      <c r="A66" s="381" t="s">
        <v>2582</v>
      </c>
      <c r="B66" s="381"/>
      <c r="C66" s="381"/>
      <c r="D66" s="381"/>
      <c r="E66" s="381"/>
      <c r="F66" s="381"/>
      <c r="G66" s="19">
        <v>183</v>
      </c>
      <c r="H66" s="20"/>
      <c r="I66" s="70">
        <f>I62-I65</f>
        <v>24016</v>
      </c>
      <c r="J66" s="70">
        <f>J62-J65</f>
        <v>333535</v>
      </c>
      <c r="L66" s="2" t="s">
        <v>2591</v>
      </c>
    </row>
    <row r="67" spans="1:10" s="2" customFormat="1" ht="13.5" customHeight="1">
      <c r="A67" s="403" t="s">
        <v>779</v>
      </c>
      <c r="B67" s="403"/>
      <c r="C67" s="403"/>
      <c r="D67" s="403"/>
      <c r="E67" s="403"/>
      <c r="F67" s="403"/>
      <c r="G67" s="19">
        <v>184</v>
      </c>
      <c r="H67" s="20"/>
      <c r="I67" s="70">
        <f>IF(I66&gt;0,I66,0)</f>
        <v>24016</v>
      </c>
      <c r="J67" s="70">
        <f>IF(J66&gt;0,J66,0)</f>
        <v>333535</v>
      </c>
    </row>
    <row r="68" spans="1:10" s="2" customFormat="1" ht="13.5" customHeight="1">
      <c r="A68" s="404" t="s">
        <v>1472</v>
      </c>
      <c r="B68" s="404"/>
      <c r="C68" s="404"/>
      <c r="D68" s="404"/>
      <c r="E68" s="404"/>
      <c r="F68" s="404"/>
      <c r="G68" s="21">
        <v>185</v>
      </c>
      <c r="H68" s="22"/>
      <c r="I68" s="85">
        <f>IF(I66&lt;0,-I66,0)</f>
        <v>0</v>
      </c>
      <c r="J68" s="85">
        <f>IF(J66&lt;0,-J66,0)</f>
        <v>0</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6" t="s">
        <v>656</v>
      </c>
      <c r="B88" s="416"/>
      <c r="C88" s="416"/>
      <c r="D88" s="416"/>
      <c r="E88" s="416"/>
      <c r="F88" s="416"/>
      <c r="G88" s="417"/>
      <c r="H88" s="417"/>
      <c r="I88" s="417"/>
      <c r="J88" s="417"/>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0:F20"/>
    <mergeCell ref="A21:F21"/>
    <mergeCell ref="A28:F28"/>
    <mergeCell ref="A29:F29"/>
    <mergeCell ref="A13:F13"/>
    <mergeCell ref="A88:J88"/>
    <mergeCell ref="A18:F18"/>
    <mergeCell ref="A19:F19"/>
    <mergeCell ref="A26:F26"/>
    <mergeCell ref="A27:F27"/>
    <mergeCell ref="A24:F24"/>
    <mergeCell ref="A25:F25"/>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J74" sqref="J74"/>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32" t="s">
        <v>568</v>
      </c>
      <c r="B2" s="433"/>
      <c r="C2" s="433"/>
      <c r="D2" s="433"/>
      <c r="E2" s="433"/>
      <c r="F2" s="433"/>
      <c r="G2" s="433"/>
      <c r="H2" s="433"/>
      <c r="I2" s="434"/>
      <c r="J2" s="392" t="s">
        <v>2593</v>
      </c>
      <c r="Q2" s="74">
        <f>IF(MAX(I9:I88)&gt;0,1,0)</f>
        <v>1</v>
      </c>
      <c r="R2" s="73" t="s">
        <v>2586</v>
      </c>
    </row>
    <row r="3" spans="1:18" s="2" customFormat="1" ht="19.5" customHeight="1" thickBot="1">
      <c r="A3" s="435" t="str">
        <f>"za razdoblje "&amp;IF(RefStr!C4&lt;&gt;"",TEXT(RefStr!C4,"DD.MM.YYYY."),"__.__.____.")&amp;" do "&amp;IF(RefStr!F4&lt;&gt;"",TEXT(RefStr!F4,"DD.MM.YYYY."),"__.__.____.")</f>
        <v>za razdoblje 01.01.2017. do 31.12.2017.</v>
      </c>
      <c r="B3" s="436"/>
      <c r="C3" s="436"/>
      <c r="D3" s="436"/>
      <c r="E3" s="436"/>
      <c r="F3" s="436"/>
      <c r="G3" s="436"/>
      <c r="H3" s="436"/>
      <c r="I3" s="437"/>
      <c r="J3" s="422"/>
      <c r="Q3" s="74">
        <f>IF(MAX(J9:J88)&gt;0,1,0)</f>
        <v>1</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61539263602; REDEA d.o.o.</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c r="J25" s="94"/>
    </row>
    <row r="26" spans="1:10" s="2" customFormat="1" ht="24.75" customHeight="1">
      <c r="A26" s="403" t="s">
        <v>2215</v>
      </c>
      <c r="B26" s="403"/>
      <c r="C26" s="403"/>
      <c r="D26" s="403"/>
      <c r="E26" s="403"/>
      <c r="F26" s="403"/>
      <c r="G26" s="443"/>
      <c r="H26" s="19">
        <v>232</v>
      </c>
      <c r="I26" s="77"/>
      <c r="J26" s="77"/>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v>1987601</v>
      </c>
      <c r="J35" s="78">
        <v>1699521</v>
      </c>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v>1987601</v>
      </c>
      <c r="J37" s="94">
        <v>1699521</v>
      </c>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v>289797</v>
      </c>
      <c r="J43" s="77">
        <v>167186</v>
      </c>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v>50786</v>
      </c>
      <c r="J50" s="77">
        <v>56158</v>
      </c>
    </row>
    <row r="51" spans="1:10" s="2" customFormat="1" ht="24.75" customHeight="1">
      <c r="A51" s="403" t="s">
        <v>2219</v>
      </c>
      <c r="B51" s="403"/>
      <c r="C51" s="403"/>
      <c r="D51" s="403"/>
      <c r="E51" s="403"/>
      <c r="F51" s="403"/>
      <c r="G51" s="443"/>
      <c r="H51" s="19">
        <v>253</v>
      </c>
      <c r="I51" s="77">
        <v>319</v>
      </c>
      <c r="J51" s="77">
        <v>748</v>
      </c>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v>7568</v>
      </c>
      <c r="J55" s="77">
        <v>7960</v>
      </c>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c r="J57" s="77"/>
    </row>
    <row r="58" spans="1:10" s="2" customFormat="1" ht="13.5" customHeight="1">
      <c r="A58" s="403" t="s">
        <v>2436</v>
      </c>
      <c r="B58" s="403"/>
      <c r="C58" s="403"/>
      <c r="D58" s="403"/>
      <c r="E58" s="403"/>
      <c r="F58" s="403"/>
      <c r="G58" s="443"/>
      <c r="H58" s="19">
        <v>260</v>
      </c>
      <c r="I58" s="77"/>
      <c r="J58" s="77"/>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v>25053</v>
      </c>
      <c r="J60" s="77">
        <v>30000</v>
      </c>
    </row>
    <row r="61" spans="1:10" s="2" customFormat="1" ht="13.5" customHeight="1">
      <c r="A61" s="444" t="s">
        <v>2445</v>
      </c>
      <c r="B61" s="444"/>
      <c r="C61" s="444"/>
      <c r="D61" s="444"/>
      <c r="E61" s="444"/>
      <c r="F61" s="444"/>
      <c r="G61" s="445"/>
      <c r="H61" s="19">
        <v>263</v>
      </c>
      <c r="I61" s="77">
        <v>25053</v>
      </c>
      <c r="J61" s="77">
        <v>30000</v>
      </c>
    </row>
    <row r="62" spans="1:10" s="2" customFormat="1" ht="13.5" customHeight="1">
      <c r="A62" s="403" t="s">
        <v>2439</v>
      </c>
      <c r="B62" s="403"/>
      <c r="C62" s="403"/>
      <c r="D62" s="403"/>
      <c r="E62" s="403"/>
      <c r="F62" s="403"/>
      <c r="G62" s="443"/>
      <c r="H62" s="19">
        <v>264</v>
      </c>
      <c r="I62" s="77">
        <v>640</v>
      </c>
      <c r="J62" s="77">
        <v>380</v>
      </c>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c r="J64" s="77"/>
    </row>
    <row r="65" spans="1:10" s="2" customFormat="1" ht="13.5" customHeight="1">
      <c r="A65" s="403" t="s">
        <v>2442</v>
      </c>
      <c r="B65" s="403"/>
      <c r="C65" s="403"/>
      <c r="D65" s="403"/>
      <c r="E65" s="403"/>
      <c r="F65" s="403"/>
      <c r="G65" s="443"/>
      <c r="H65" s="19">
        <v>267</v>
      </c>
      <c r="I65" s="77">
        <v>204710</v>
      </c>
      <c r="J65" s="77">
        <v>364355</v>
      </c>
    </row>
    <row r="66" spans="1:10" s="2" customFormat="1" ht="13.5" customHeight="1">
      <c r="A66" s="444" t="s">
        <v>2903</v>
      </c>
      <c r="B66" s="444"/>
      <c r="C66" s="444"/>
      <c r="D66" s="444"/>
      <c r="E66" s="444"/>
      <c r="F66" s="444"/>
      <c r="G66" s="445"/>
      <c r="H66" s="19">
        <v>268</v>
      </c>
      <c r="I66" s="77"/>
      <c r="J66" s="77"/>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v>217577</v>
      </c>
      <c r="J73" s="94">
        <v>72085</v>
      </c>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v>873</v>
      </c>
      <c r="J76" s="78">
        <v>384</v>
      </c>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4552</v>
      </c>
      <c r="J78" s="228">
        <f>SUM(J79:J82)</f>
        <v>66166</v>
      </c>
    </row>
    <row r="79" spans="1:10" s="2" customFormat="1" ht="13.5" customHeight="1">
      <c r="A79" s="403" t="s">
        <v>629</v>
      </c>
      <c r="B79" s="403"/>
      <c r="C79" s="403"/>
      <c r="D79" s="403"/>
      <c r="E79" s="403"/>
      <c r="F79" s="403"/>
      <c r="G79" s="443"/>
      <c r="H79" s="19">
        <v>279</v>
      </c>
      <c r="I79" s="77"/>
      <c r="J79" s="77"/>
    </row>
    <row r="80" spans="1:10" s="2" customFormat="1" ht="13.5" customHeight="1">
      <c r="A80" s="403" t="s">
        <v>630</v>
      </c>
      <c r="B80" s="403"/>
      <c r="C80" s="403"/>
      <c r="D80" s="403"/>
      <c r="E80" s="403"/>
      <c r="F80" s="403"/>
      <c r="G80" s="443"/>
      <c r="H80" s="19">
        <v>280</v>
      </c>
      <c r="I80" s="77">
        <v>4552</v>
      </c>
      <c r="J80" s="77">
        <v>57691</v>
      </c>
    </row>
    <row r="81" spans="1:10" s="2" customFormat="1" ht="13.5" customHeight="1">
      <c r="A81" s="403" t="s">
        <v>1</v>
      </c>
      <c r="B81" s="403"/>
      <c r="C81" s="403"/>
      <c r="D81" s="403"/>
      <c r="E81" s="403"/>
      <c r="F81" s="403"/>
      <c r="G81" s="443"/>
      <c r="H81" s="19">
        <v>281</v>
      </c>
      <c r="I81" s="77"/>
      <c r="J81" s="77"/>
    </row>
    <row r="82" spans="1:10" s="2" customFormat="1" ht="36" customHeight="1">
      <c r="A82" s="403" t="s">
        <v>4</v>
      </c>
      <c r="B82" s="403"/>
      <c r="C82" s="403"/>
      <c r="D82" s="403"/>
      <c r="E82" s="403"/>
      <c r="F82" s="403"/>
      <c r="G82" s="443"/>
      <c r="H82" s="19">
        <v>282</v>
      </c>
      <c r="I82" s="77"/>
      <c r="J82" s="77">
        <v>8475</v>
      </c>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v>0</v>
      </c>
      <c r="J88" s="96">
        <v>0</v>
      </c>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92"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01.01.2017. do 31.12.2017.</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400" t="str">
        <f>"Obveznik: "&amp;IF(RefStr!C27&lt;&gt;"",RefStr!C27,"________")&amp;"; "&amp;IF(RefStr!C29&lt;&gt;"",RefStr!C29,"________________________________________________________"&amp;"; "&amp;IF(RefStr!F31&lt;&gt;"",RefStr!F31,"_______________"))</f>
        <v>Obveznik: 61539263602; REDEA d.o.o.</v>
      </c>
      <c r="B5" s="401"/>
      <c r="C5" s="401"/>
      <c r="D5" s="401"/>
      <c r="E5" s="401"/>
      <c r="F5" s="401"/>
      <c r="G5" s="401"/>
      <c r="H5" s="401"/>
      <c r="I5" s="401"/>
      <c r="J5" s="402"/>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92"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01.01.2017. do 31.12.2017.</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400" t="str">
        <f>"Obveznik: "&amp;IF(RefStr!C27&lt;&gt;"",RefStr!C27,"________")&amp;"; "&amp;IF(RefStr!C29&lt;&gt;"",RefStr!C29,"________________________________________________________"&amp;"; "&amp;IF(RefStr!F31&lt;&gt;"",RefStr!F31,"_______________"))</f>
        <v>Obveznik: 61539263602; REDEA d.o.o.</v>
      </c>
      <c r="B5" s="401"/>
      <c r="C5" s="401"/>
      <c r="D5" s="401"/>
      <c r="E5" s="401"/>
      <c r="F5" s="401"/>
      <c r="G5" s="401"/>
      <c r="H5" s="401"/>
      <c r="I5" s="401"/>
      <c r="J5" s="402"/>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2525</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92" t="s">
        <v>2596</v>
      </c>
      <c r="Q2" s="470"/>
      <c r="R2" s="470"/>
      <c r="S2" s="470"/>
      <c r="T2" s="470"/>
      <c r="U2" s="470"/>
      <c r="V2" s="470"/>
      <c r="W2" s="471"/>
      <c r="X2" s="392"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01.01.2017. do 31.12.2017.</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61539263602; REDEA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388"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Mirna Vurušić Kriković</cp:lastModifiedBy>
  <cp:lastPrinted>2018-04-10T11:21:33Z</cp:lastPrinted>
  <dcterms:created xsi:type="dcterms:W3CDTF">2008-10-17T11:51:54Z</dcterms:created>
  <dcterms:modified xsi:type="dcterms:W3CDTF">2019-01-17T12:06:21Z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