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2240" windowHeight="9120" tabRatio="742" activeTab="0"/>
  </bookViews>
  <sheets>
    <sheet name="T-1_Akcijski plan" sheetId="1" r:id="rId1"/>
    <sheet name="T-2_Izvori sredstava" sheetId="2" r:id="rId2"/>
    <sheet name="T-3 Financijski plan-pos. podr." sheetId="3" state="hidden" r:id="rId3"/>
    <sheet name="T-4_Područja razvoja " sheetId="4" state="hidden" r:id="rId4"/>
    <sheet name="T-5_Strateški projekti " sheetId="5" r:id="rId5"/>
    <sheet name="Financijski plan" sheetId="6" state="hidden" r:id="rId6"/>
  </sheets>
  <definedNames>
    <definedName name="_xlnm.Print_Titles" localSheetId="3">'T-4_Područja razvoja '!$A:$E,'T-4_Područja razvoja '!$2:$3</definedName>
    <definedName name="_xlnm.Print_Area" localSheetId="2">'T-3 Financijski plan-pos. podr.'!$A$1:$S$74</definedName>
    <definedName name="Z_A29820A6_A3CD_4FDA_8724_C849D32DDAD6_.wvu.PrintArea" localSheetId="2" hidden="1">'T-3 Financijski plan-pos. podr.'!$A$1:$S$74</definedName>
    <definedName name="Z_A29820A6_A3CD_4FDA_8724_C849D32DDAD6_.wvu.PrintTitles" localSheetId="3" hidden="1">'T-4_Područja razvoja '!$A:$E,'T-4_Područja razvoja '!$2:$3</definedName>
    <definedName name="Z_CAD191E9_BC9A_464D_88CB_C75DA0B0D611_.wvu.PrintArea" localSheetId="2" hidden="1">'T-3 Financijski plan-pos. podr.'!$A$1:$S$74</definedName>
    <definedName name="Z_CAD191E9_BC9A_464D_88CB_C75DA0B0D611_.wvu.PrintTitles" localSheetId="3" hidden="1">'T-4_Područja razvoja '!$A:$E,'T-4_Područja razvoja '!$2:$3</definedName>
    <definedName name="Z_D6970EC1_1710_41D9_9524_A1218F79B165_.wvu.PrintArea" localSheetId="2" hidden="1">'T-3 Financijski plan-pos. podr.'!$A$1:$S$74</definedName>
    <definedName name="Z_D6970EC1_1710_41D9_9524_A1218F79B165_.wvu.PrintTitles" localSheetId="3" hidden="1">'T-4_Područja razvoja '!$A:$E,'T-4_Područja razvoja '!$2:$3</definedName>
  </definedNames>
  <calcPr fullCalcOnLoad="1"/>
</workbook>
</file>

<file path=xl/comments2.xml><?xml version="1.0" encoding="utf-8"?>
<comments xmlns="http://schemas.openxmlformats.org/spreadsheetml/2006/main">
  <authors>
    <author>Ana Kralj</author>
  </authors>
  <commentList>
    <comment ref="P186" authorId="0">
      <text>
        <r>
          <rPr>
            <sz val="11"/>
            <color indexed="8"/>
            <rFont val="Calibri"/>
            <family val="2"/>
          </rPr>
          <t>Ana Kralj:</t>
        </r>
        <r>
          <rPr>
            <sz val="10"/>
            <rFont val="Arial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<sst xmlns="http://schemas.openxmlformats.org/spreadsheetml/2006/main" count="1233" uniqueCount="821">
  <si>
    <t>Pomoći 
Europske 
unije</t>
  </si>
  <si>
    <t>Javna poduzeća</t>
  </si>
  <si>
    <t>Ostali izvori</t>
  </si>
  <si>
    <t>Državni
proračun</t>
  </si>
  <si>
    <t>Županijski
proračun</t>
  </si>
  <si>
    <t>Lokalni
proračun</t>
  </si>
  <si>
    <t>Sveukupno</t>
  </si>
  <si>
    <t>Gospodarstvo</t>
  </si>
  <si>
    <t>Ljudski potencijali</t>
  </si>
  <si>
    <t xml:space="preserve">Institucije </t>
  </si>
  <si>
    <t>Mjere unapređenja i razvoja tržišta rada i zapošljavanja</t>
  </si>
  <si>
    <t>Ostalo</t>
  </si>
  <si>
    <t>Zaštita okoliša, prostor i priroda</t>
  </si>
  <si>
    <t>Mjere stručnog usavršavanja i cjeloživotnog obrazovanja</t>
  </si>
  <si>
    <t>UKUPNO</t>
  </si>
  <si>
    <t>Ukupno</t>
  </si>
  <si>
    <t>Naziv projekta</t>
  </si>
  <si>
    <t>Status projekta**</t>
  </si>
  <si>
    <t>Nositelj projekta</t>
  </si>
  <si>
    <t>Lokacija projekta</t>
  </si>
  <si>
    <t xml:space="preserve">Napomene:  </t>
  </si>
  <si>
    <t>Napomene:</t>
  </si>
  <si>
    <t xml:space="preserve">Ostalo </t>
  </si>
  <si>
    <t>Mjere socijalnog uključivanja</t>
  </si>
  <si>
    <t>***Npr. domovi kulture, domovi mladih i sl.</t>
  </si>
  <si>
    <t>Skupina mjera</t>
  </si>
  <si>
    <t>Ukupna vrijednost projekta u kunama</t>
  </si>
  <si>
    <t>Društvene djelatnosti</t>
  </si>
  <si>
    <t>Komunalna infrastruktura</t>
  </si>
  <si>
    <t>Mjere planiranja prostornog razvoja</t>
  </si>
  <si>
    <t xml:space="preserve">1.2. Mjere unapređenja, poticanja i razvoja rudarstva </t>
  </si>
  <si>
    <t>2.1.Mjere unapređenja i razvoja prometne infrastrukture - ceste</t>
  </si>
  <si>
    <t>1.1.  unapređenja, poticanja i razvoja poljoprivrede, šumarstva i ribarstva</t>
  </si>
  <si>
    <t>1.3. Mjere unapređenja, poticanja i razvoja prerađivačke industrije</t>
  </si>
  <si>
    <t>1.4. Mjere unapređenja, poticanja i razvoja opskrbe električnom energijom i plinom</t>
  </si>
  <si>
    <t>1.5. Mjere unapređenja, poticanja i razvoja građevinarstva</t>
  </si>
  <si>
    <t>1.6. Mjere unapređenja, poticanja i razvoja prijevoza</t>
  </si>
  <si>
    <t>1.7. Mjere unapređenja, poticanja i razvoja ICT sektora</t>
  </si>
  <si>
    <t>1.8. Mjere unapređenja, poticanja i razvoja turizma</t>
  </si>
  <si>
    <t>1.9. Mjere za razvoj poduzetništva (horizontalne mjere)</t>
  </si>
  <si>
    <t>1.10. Ostalo</t>
  </si>
  <si>
    <t>2.2. Mjere unapređenja i razvoja prometne infrastrukture - željeznica</t>
  </si>
  <si>
    <t>2.3. Mjere unapređenja i razvoja prometne infrastrukture - pomorski i riječni promet</t>
  </si>
  <si>
    <t>2.4. Mjere unapređenja i razvoja prometne infrastrukture - zračni promet</t>
  </si>
  <si>
    <t>2.5. Mjere unapređenja i razvoja energetske infrastrukture</t>
  </si>
  <si>
    <t xml:space="preserve">2.6..Mjere unapređenja i razvoja vodoopskrbe </t>
  </si>
  <si>
    <t>2.7. Mjere unapređenja i razvoja odvodnje</t>
  </si>
  <si>
    <t xml:space="preserve">2.8. Mjere izgradnje i održavanja javnih površina i tržnica </t>
  </si>
  <si>
    <t>2.9. Ostalo</t>
  </si>
  <si>
    <t>3.1. Mjere unapređenja i razvoja u području socijalne skrbi</t>
  </si>
  <si>
    <t>3.2. Mjere unapređenja i razvoja u području odgoja i obrazovanja</t>
  </si>
  <si>
    <t>3.3. Mjere unapređenja i razvoja u području kulture te zaštita kulturne baštine</t>
  </si>
  <si>
    <t>3.4. Mjere unapređenja i razvoja u području zdravstva</t>
  </si>
  <si>
    <t>3.5. Mjere unapređenja i razvoja u području sporta</t>
  </si>
  <si>
    <t>3.7. Ostalo</t>
  </si>
  <si>
    <t xml:space="preserve">4.1. Mjere unapređenja i razvoja u području gospodarenja otpadom </t>
  </si>
  <si>
    <t>4.2. Mjere unapređenja i razvoja u području zaštite voda, mora, zraka i tla</t>
  </si>
  <si>
    <t>4.3. Mjere unapređenja i razvoja u području učinkovitog korištenja energije i obnovljivih izvora energije</t>
  </si>
  <si>
    <t>4.4. Mjere unapređenja i razvoja u području očuvanja biološke i krajobrazne raznolikosti te zaštite prirodnih vrijednosti</t>
  </si>
  <si>
    <t>4.5. Mjere razminiranja</t>
  </si>
  <si>
    <t>4.6. Ostalo</t>
  </si>
  <si>
    <t>5.1. Mjere unapređenja i razvoja institucija regionalne i lokalne samouprave</t>
  </si>
  <si>
    <t>5.2. Mjere unapređenja i razvoja civilnog društva</t>
  </si>
  <si>
    <t>5.3. Ostalo</t>
  </si>
  <si>
    <t xml:space="preserve">6.1. Mjere zaštite ljudi i imovine </t>
  </si>
  <si>
    <t>6.2. Ostalo</t>
  </si>
  <si>
    <t>3.6. Mjere izgradnje i obnove objekata javne namjene***</t>
  </si>
  <si>
    <t>*Ukoliko kodovi mjera sadrže poveznicu s ciljevima i prioritetima, dovoljno je popuniti samo kolonu mjere</t>
  </si>
  <si>
    <t>Ostali izvori**</t>
  </si>
  <si>
    <t>**Javno-privatna partnerstva, koncesije, sredstva privatnog sektora.</t>
  </si>
  <si>
    <t xml:space="preserve">Pokazatelji </t>
  </si>
  <si>
    <t xml:space="preserve"> 1.</t>
  </si>
  <si>
    <t xml:space="preserve">Definicija </t>
  </si>
  <si>
    <t>Naziv</t>
  </si>
  <si>
    <t>Naziv cilja /prioriteta/mjere/APP</t>
  </si>
  <si>
    <t>2.</t>
  </si>
  <si>
    <t>Mjerilo (jedinica)</t>
  </si>
  <si>
    <t>R.br.*</t>
  </si>
  <si>
    <t>R.br.</t>
  </si>
  <si>
    <t>Planirana sredstva za provedbu skupine mjera (n - n+2)</t>
  </si>
  <si>
    <t>Planirana sredstva za provedbu skupine mjera (godina n)</t>
  </si>
  <si>
    <t>** Projekt neposredne realizacije (1), projekt realizacije u srednjoročnom razdoblju (2) i projekt realizacije u dugoročnom razdoblju (3).</t>
  </si>
  <si>
    <t>Tablica  T-1: Akcijski plan</t>
  </si>
  <si>
    <t>Tablica T-2: Izvori sredstava</t>
  </si>
  <si>
    <t>*numerički kod cilja/prioriteta/mjere/APP-a  u ŽRS-u</t>
  </si>
  <si>
    <r>
      <t xml:space="preserve">Mjere u ŽRS </t>
    </r>
    <r>
      <rPr>
        <i/>
        <sz val="9"/>
        <rFont val="Arial"/>
        <family val="2"/>
      </rPr>
      <t>(numerički kod u ŽRS)</t>
    </r>
  </si>
  <si>
    <r>
      <t xml:space="preserve">Prioritet u ŽRS 
</t>
    </r>
    <r>
      <rPr>
        <i/>
        <sz val="9"/>
        <rFont val="Arial"/>
        <family val="2"/>
      </rPr>
      <t>(numerički kod u ŽRS)*</t>
    </r>
  </si>
  <si>
    <r>
      <t xml:space="preserve">Cilj u ŽRS
</t>
    </r>
    <r>
      <rPr>
        <i/>
        <sz val="9"/>
        <rFont val="Arial"/>
        <family val="2"/>
      </rPr>
      <t>(numerički kod u ŽRS)*</t>
    </r>
  </si>
  <si>
    <t>Numerički kod u ŽRS-u*</t>
  </si>
  <si>
    <t>*Numerički kod mjere u ŽRS-u na koju se razvojni projekt odnosi</t>
  </si>
  <si>
    <t>Područja razvoja</t>
  </si>
  <si>
    <t>Posebna područja*</t>
  </si>
  <si>
    <t>Skupina mjera u područjima razvoja</t>
  </si>
  <si>
    <r>
      <t xml:space="preserve">Mjere u ŽRS </t>
    </r>
    <r>
      <rPr>
        <i/>
        <sz val="9"/>
        <rFont val="Arial"/>
        <family val="2"/>
      </rPr>
      <t>(numerički kod u ŽRS)**</t>
    </r>
  </si>
  <si>
    <r>
      <t xml:space="preserve">Prioritet u ŽRS 
</t>
    </r>
    <r>
      <rPr>
        <i/>
        <sz val="9"/>
        <rFont val="Arial"/>
        <family val="2"/>
      </rPr>
      <t>(numerički kod u ŽRS)**</t>
    </r>
  </si>
  <si>
    <t>Ostali izvori***</t>
  </si>
  <si>
    <t>Potpomognuta područja</t>
  </si>
  <si>
    <t>Institucije</t>
  </si>
  <si>
    <t xml:space="preserve">Ruralna područja </t>
  </si>
  <si>
    <t>Otoci</t>
  </si>
  <si>
    <t>Brdsko-planinska područja</t>
  </si>
  <si>
    <t>Pogranična područja</t>
  </si>
  <si>
    <t>Gradska područja s posebnim obilježjima unutar grada Zagreba****</t>
  </si>
  <si>
    <t>***Javno-privatna partnerstva, koncesije, sredstva privatnog sektora.</t>
  </si>
  <si>
    <t>***** n - prva godina provedbe strategije</t>
  </si>
  <si>
    <t>Tablica T-5: Strateški projekti</t>
  </si>
  <si>
    <r>
      <rPr>
        <b/>
        <sz val="14"/>
        <rFont val="Arial"/>
        <family val="2"/>
      </rPr>
      <t xml:space="preserve">Tablica  T-4: Područja razvoja </t>
    </r>
    <r>
      <rPr>
        <b/>
        <sz val="11"/>
        <rFont val="Arial"/>
        <family val="2"/>
      </rPr>
      <t xml:space="preserve">
SKUPINE MJERA ŽRS-a PO PODRUČJIMA RAZVOJA - OSNOVA ZA BUDUĆE IZVJEŠTAVANJE PREMA SREDIŠNJOJ RAZINI</t>
    </r>
  </si>
  <si>
    <t>**n - prva godina provedbe strategije</t>
  </si>
  <si>
    <t>*n - prva godina provedbe strategije</t>
  </si>
  <si>
    <r>
      <t xml:space="preserve">Cilj u ŽRS
</t>
    </r>
    <r>
      <rPr>
        <i/>
        <sz val="9"/>
        <rFont val="Arial"/>
        <family val="2"/>
      </rPr>
      <t>(numerički kod u ŽRS)**</t>
    </r>
  </si>
  <si>
    <t xml:space="preserve">****Npr. ruralna područja ili područje parka prirode unutar područja grada Zagreba. Popunjava samo grad Zagreb. </t>
  </si>
  <si>
    <t>Planirana sredstva za provedbu skupine mjera u prvoj godini provedbe (godina n*****)</t>
  </si>
  <si>
    <t>**Ukoliko kodovi mjera sadrže poveznicu s ciljevima i prioritetima, dovoljno je popuniti samo kolonu mjere.</t>
  </si>
  <si>
    <t>** Za  trogodišnje razdoblje n-n+2</t>
  </si>
  <si>
    <t>Ratom stradala područja</t>
  </si>
  <si>
    <t>*Ovo je prijedlog posebnih područja koja su definirana u tekstu Uputa za izradu i sadržaj izvještaja županija o provedbi ŽRS-a. ista je moguće nadopuniti ovisno o posebnostima županije/grada Zagreba. Županije kao i grad Zagreb popunjavaju samo podatke o provednim mjerama u posebnim područjima koja su prepoznata u ŽRS-ima.</t>
  </si>
  <si>
    <t>Veliki gradovi / urbana područja</t>
  </si>
  <si>
    <t>Tablica T-3: Financijski plan - skupine mjera ŽRS vezano za teritorijalni i urbani razvoj</t>
  </si>
  <si>
    <t>Cilj Rast i razvoj gospodarstva</t>
  </si>
  <si>
    <t>Prioritet Stvaranje preduvjeta za jačanje konkurentnosti gospodarstva</t>
  </si>
  <si>
    <t>Mjera Podrška rastu i razvoju gospodarske aktivnosti i povećanju ulaganja</t>
  </si>
  <si>
    <t>1P1M1</t>
  </si>
  <si>
    <t>1P1M2</t>
  </si>
  <si>
    <t>1P1M3</t>
  </si>
  <si>
    <t>1P1M4</t>
  </si>
  <si>
    <t>1P1M5</t>
  </si>
  <si>
    <t>1P1M6</t>
  </si>
  <si>
    <t>1P2M1</t>
  </si>
  <si>
    <t xml:space="preserve"> 1P1</t>
  </si>
  <si>
    <t xml:space="preserve"> 1P2</t>
  </si>
  <si>
    <t>1P2M2</t>
  </si>
  <si>
    <t xml:space="preserve"> 1P3</t>
  </si>
  <si>
    <t>1P3M1</t>
  </si>
  <si>
    <t>1P3M2</t>
  </si>
  <si>
    <t xml:space="preserve">Mjera Poticanje ulaganja u ljudske resurse </t>
  </si>
  <si>
    <t>Mjera   Proaktivno pristupanje privlačenju ulaganja i razvoju gospodarskih zona</t>
  </si>
  <si>
    <t>Mjera  Podrška poduzetnicima početnicima</t>
  </si>
  <si>
    <t>Mjera Podrška očuvanju i razvoju obrtništva</t>
  </si>
  <si>
    <t>Mjera Uspostava i unaprjeđenje institucionalnog i financijskog okvira za razvoj društvenog poduzetništva u Međimurskoj županiji</t>
  </si>
  <si>
    <t>Mjera Razvoj infrastrukture za podršku tehnološkom razvoju i poticanje primjene visoke tehnologije</t>
  </si>
  <si>
    <t>Mjera Jačanje suradnje između gospodarstva, znanosti i obrazovnog sustava</t>
  </si>
  <si>
    <t>Prioritet Poticanje inovacija i stvaranje preduvjeta za razvoj proizvoda i usluga s višom dodanom vrijednošću</t>
  </si>
  <si>
    <t>Prioritet Tržišno organiziranje i promocija gospodarstva</t>
  </si>
  <si>
    <t>Mjera Poticanje interesnog povezivanja poduzetnika</t>
  </si>
  <si>
    <t>Mjera Promocija međimurskog gospodarstva na domaćim i stranim tržištima</t>
  </si>
  <si>
    <t xml:space="preserve">1P4M1 </t>
  </si>
  <si>
    <t>1P4M2</t>
  </si>
  <si>
    <t>1P4M3</t>
  </si>
  <si>
    <t>1P4M4</t>
  </si>
  <si>
    <t>1P4</t>
  </si>
  <si>
    <t>Prioritet Povećanje konkurentnosti poljoprivrednog sektora i uvođenje sustava međimurske kvalitete</t>
  </si>
  <si>
    <t>Mjera Okrupnjavanje zemljišta s ciljem poboljšanja konkurentnosti poljoprivredne proizvodnje</t>
  </si>
  <si>
    <t>Mjera Poticanje organiziranja i povezivanja poljoprivrednih proizvođača radi njihovog jačeg pozicioniranja na tržištu</t>
  </si>
  <si>
    <t>Mjera Uspostava sustava kvalitete i brendiranje međimurskih poljoprivredno – prehrambenih proizvoda</t>
  </si>
  <si>
    <t>1P4M5</t>
  </si>
  <si>
    <t>Mjera Povećanje proizvodne učinkovitosti i konkurentnosti poljoprivrednih proizvođača te razvoj inovativnih proizvoda u poljoprivredno – prehrambenom sektoru</t>
  </si>
  <si>
    <t>1P5</t>
  </si>
  <si>
    <t>Prioritet Razvoj i promocija turističke ponude s ciljem pozicioniranja Međimurja kao turističke destinacije</t>
  </si>
  <si>
    <t>1P5M1</t>
  </si>
  <si>
    <t>Mjera Unaprjeđenje postojećih i razvoj novih turističkih proizvoda i usluga</t>
  </si>
  <si>
    <t>1P5M2</t>
  </si>
  <si>
    <t>Mjera Jačanje kapaciteta i konkurentnosti pružatelja usluga</t>
  </si>
  <si>
    <t>1P5M3</t>
  </si>
  <si>
    <t>Mjera Uspostava sustava kvalitete i brendiranje turističkih proizvoda i usluga</t>
  </si>
  <si>
    <t>1P5M4</t>
  </si>
  <si>
    <t>Mjera Sustavna promocija Međimurja (kao cjelovite turističke destinacije)</t>
  </si>
  <si>
    <t>1P5M5</t>
  </si>
  <si>
    <t>Mjera Osiguravanje uvjeta za efikasno upravljanje turističkom destinacijom</t>
  </si>
  <si>
    <t>Cilj Dobrobit stanovništva</t>
  </si>
  <si>
    <t xml:space="preserve"> 2P1</t>
  </si>
  <si>
    <t>Prioritet Promicanje zapošljavanja, obrazovanja i cjeloživotnog učenja</t>
  </si>
  <si>
    <t>2P1M1</t>
  </si>
  <si>
    <t>Mjera Primjena strateškog pristupa razvoju ljudskih potencijala MŽ</t>
  </si>
  <si>
    <t>2P1M2</t>
  </si>
  <si>
    <t>Mjera Podrška obrazovnom sektoru (od predškolskog do visokog obrazovanja) i jačanje kompetencija ljudskih potencijala</t>
  </si>
  <si>
    <t>2P1M3</t>
  </si>
  <si>
    <t>2P1M4</t>
  </si>
  <si>
    <t>Mjera  Stručno osposobljavanje i usavršavanje nezaposlenih osoba za tržište rada</t>
  </si>
  <si>
    <t>2P1M5</t>
  </si>
  <si>
    <t>Mjera  Podrška zapošljavanju mladih osoba</t>
  </si>
  <si>
    <t xml:space="preserve"> 2P2</t>
  </si>
  <si>
    <t>Prioritet Unaprjeđenje zdravlja stanovništva i kvalitete zdravstvenih usluga</t>
  </si>
  <si>
    <t>2P2M1</t>
  </si>
  <si>
    <t>2P2M2</t>
  </si>
  <si>
    <t>Mjera Unaprjeđenje zdravstvenog sustava</t>
  </si>
  <si>
    <t xml:space="preserve"> 2P3</t>
  </si>
  <si>
    <t>Prioritet Poboljšanje kvalitete života skupina u osjetljivom položaju</t>
  </si>
  <si>
    <t>2P3M1</t>
  </si>
  <si>
    <t>2P3M2</t>
  </si>
  <si>
    <t>Mjera Jačanje socijalne uključenosti skupina u osjetljivom položaju</t>
  </si>
  <si>
    <t xml:space="preserve">Mjera Jačanje aktivnosti prevencije na primarnoj, sekundarnoj i tercijarnoj razini </t>
  </si>
  <si>
    <t>Mjera Promicanje zdravog stila života</t>
  </si>
  <si>
    <t>2P2M3</t>
  </si>
  <si>
    <t xml:space="preserve"> 2P4</t>
  </si>
  <si>
    <t>Prioritet Jačanje uloge civilnog društva</t>
  </si>
  <si>
    <t>2P4M1</t>
  </si>
  <si>
    <t>2P4M2</t>
  </si>
  <si>
    <t>Mjera Stvaranje poticajnog okruženja za rad organizacija civilnog društva</t>
  </si>
  <si>
    <t>Mjera  Jačanje aktivnog sudjelovanja organizacija civilnog društva u razvoju županije</t>
  </si>
  <si>
    <t xml:space="preserve"> 2P5</t>
  </si>
  <si>
    <t>2P5M1</t>
  </si>
  <si>
    <t>2P5M2</t>
  </si>
  <si>
    <t>2P5M3</t>
  </si>
  <si>
    <t>Prioritet Očuvanje, razvoj i promicanje svih oblika kulture</t>
  </si>
  <si>
    <t>Mjera Povećanje dostupnosti kulturnih sadržaja i kulturne baštine većem broju stanovnika</t>
  </si>
  <si>
    <t>Mjera Očuvanje i revitalizacija materijalne i nematerijalne kulturne baštine</t>
  </si>
  <si>
    <t>Mjera Razvoj novomedijske kulture i suvremene umjetnosti</t>
  </si>
  <si>
    <t>3.</t>
  </si>
  <si>
    <t>Cilj Očuvani prirodni resursi i razvoj održive infrastrukture</t>
  </si>
  <si>
    <t xml:space="preserve"> 3P1</t>
  </si>
  <si>
    <t>3P1M1</t>
  </si>
  <si>
    <t>3P1M2</t>
  </si>
  <si>
    <t>3P1M3</t>
  </si>
  <si>
    <t>3P1M4</t>
  </si>
  <si>
    <t>Prioritet Zaštita prirode i okoliša</t>
  </si>
  <si>
    <t>Mjera Unaprjeđenje sustava zaštite okoliša i upravljanja zaštićenim dijelovima prirode i ekološke mreže na području Međimurske županije</t>
  </si>
  <si>
    <t>Mjera Promicanje važnosti zaštite prirode i okoliša</t>
  </si>
  <si>
    <t>2P1M6</t>
  </si>
  <si>
    <t>Mjera Jačanje suradnje obrazovnog sektora s gospodarstvom</t>
  </si>
  <si>
    <t>Mjera Poticanje cjeloživotnog učenja</t>
  </si>
  <si>
    <t>Mjera Zaštita vodenih resursa te nadogradnja sustava vodoopskrbe i odvodnje</t>
  </si>
  <si>
    <t>Mjera Povećanje učinkovitosti sustava gospodarenja otpadom</t>
  </si>
  <si>
    <t xml:space="preserve"> 3P2</t>
  </si>
  <si>
    <t>Prioritet Sustavni razvoj prometne i telekomunikacijske infrastrukture</t>
  </si>
  <si>
    <t>Mjera  Unaprjeđenje prometnog infrastrukturnog sustava županije</t>
  </si>
  <si>
    <t>3P2M1</t>
  </si>
  <si>
    <t>3P2M3</t>
  </si>
  <si>
    <t>3P2M2</t>
  </si>
  <si>
    <t>Mjera  Razvoj integriranog sustava javnog prijevoza</t>
  </si>
  <si>
    <t>3P2M4</t>
  </si>
  <si>
    <t>Mjera  Poticanje održive mobilnosti</t>
  </si>
  <si>
    <t>Mjera  Povećanje korištenja informacijsko-komunikacijskih tehnologija (IKT) te uvođenje širokopojasnog Interneta na području cijele županije</t>
  </si>
  <si>
    <t xml:space="preserve"> 3P3</t>
  </si>
  <si>
    <t>Prioritet Postizanje veće energetske učinkovitosti Međimurske županije te promicanje i korištenje OIE</t>
  </si>
  <si>
    <t>3P3M1</t>
  </si>
  <si>
    <t>3P3M2</t>
  </si>
  <si>
    <t>3P3M3</t>
  </si>
  <si>
    <t>Mjera  Podizanje i jačanje svijesti stanovništva o očuvanju okoliša i prirode kroz povećanje energetske učinkovitosti i korištenje obnovljivih izvora energije</t>
  </si>
  <si>
    <t>Mjera Poticanje korištenja energije iz obnovljivih izvora energije i kogeneracije</t>
  </si>
  <si>
    <t>Mjera Povećanje energetske učinkovitosti i racionalno korištenje energije u javnom i privatnom sektoru</t>
  </si>
  <si>
    <t xml:space="preserve"> 3P4</t>
  </si>
  <si>
    <t>3P4M1</t>
  </si>
  <si>
    <t>3P4M2</t>
  </si>
  <si>
    <t>Prioritet Preventivno djelovanje i ublažavanje utjecaja prirodnih i elementarnih nepogoda</t>
  </si>
  <si>
    <t>Mjera Jačanje civilne zaštite</t>
  </si>
  <si>
    <t>Mjera Definiranje i provedba učinkovitijeg sustava obrane od utjecaja prirodnih i elementarnih nepogoda</t>
  </si>
  <si>
    <t>Mjera Proaktivno pristupanje privlačenju ulaganja i razvoju gospodarskih zona</t>
  </si>
  <si>
    <t>Mjera  Jačanje suradnje između gospodarstva, znanosti i obrazovnog sustava</t>
  </si>
  <si>
    <t>Prioritet  Tržišno organiziranje i promocija gospodarstva</t>
  </si>
  <si>
    <t>Mjera  Promocija međimurskog gospodarstva na domaćim i stranim tržištima</t>
  </si>
  <si>
    <t>Mjera  Okrupnjavanje zemljišta s ciljem poboljšanja konkurentnosti poljoprivredne proizvodnje</t>
  </si>
  <si>
    <t>Mjera Podrška osnivanju skladišnih, prerađivačkih i distribucijskih centara za poljoprivredno – prehrambene proizvode</t>
  </si>
  <si>
    <t>Mjera  Podrška osnivanju skladišnih, prerađivačkih i distribucijskih centara za poljoprivredno – prehrambene proizvode</t>
  </si>
  <si>
    <t>Mjera  Unaprjeđenje postojećih i razvoj novih turističkih proizvoda i usluga</t>
  </si>
  <si>
    <t>Mjera  Podrška obrazovnom sektoru (od predškolskog do visokog obrazovanja) i jačanje kompetencija ljudskih potencijala</t>
  </si>
  <si>
    <t>Mjera Podrška zapošljavanju mladih osoba</t>
  </si>
  <si>
    <t xml:space="preserve">Mjera  Jačanje aktivnosti prevencije na primarnoj, sekundarnoj i tercijarnoj razini </t>
  </si>
  <si>
    <t>Prioritet  Poboljšanje kvalitete života skupina u osjetljivom položaju</t>
  </si>
  <si>
    <t>Mjera Podrška razvoju i jačanju izvaninstitucionalnih usluga za skupine u osjetljivom položaju</t>
  </si>
  <si>
    <t>Mjera  Jačanje socijalne uključenosti skupina u osjetljivom položaju</t>
  </si>
  <si>
    <t>Prioritet  Jačanje uloge civilnog društva</t>
  </si>
  <si>
    <t>Mjera  Očuvanje i revitalizacija materijalne i nematerijalne kulturne baštine</t>
  </si>
  <si>
    <t>Mjera Unaprjeđenje prometnog infrastrukturnog sustava županije</t>
  </si>
  <si>
    <t>Mjera Poticanje održive mobilnosti</t>
  </si>
  <si>
    <t>Mjera Povećanje korištenja informacijsko-komunikacijskih tehnologija (IKT) te uvođenje širokopojasnog Interneta na području cijele županije</t>
  </si>
  <si>
    <t>Programi financijske potpore poduzetnicima na razini Međimurske županije</t>
  </si>
  <si>
    <t>Koeficijent pokrivenosti uvoza izvozom</t>
  </si>
  <si>
    <t xml:space="preserve">Dolasci
turista
</t>
  </si>
  <si>
    <t>Mjeri vrijednost ukupne proizvodnje dobara i usluga u godini, a sadržava društveni proizvod i nacionalni dohodak, izraženo po stanovniku.</t>
  </si>
  <si>
    <t>Predstavlja omjer izvoza i uvoza koji mjeri sposobnost Međimurske županije da izvozom pokrije ostvareni uvoz i na taj način ostvari pozitivan vanjskotrgovinski saldo.</t>
  </si>
  <si>
    <t xml:space="preserve">Povećanje broja ostvarenih dolazaka turista </t>
  </si>
  <si>
    <t>EUR</t>
  </si>
  <si>
    <t>Postotak</t>
  </si>
  <si>
    <t>Broj</t>
  </si>
  <si>
    <t>¹</t>
  </si>
  <si>
    <t xml:space="preserve">Edukacije o mogućnostima unaprjeđenja poslovanja </t>
  </si>
  <si>
    <t>Broj programa</t>
  </si>
  <si>
    <t>Obuhvaća dostupne kreditne linije, jamstvene sheme, vaučere za pripremu projekata</t>
  </si>
  <si>
    <t>Edukacije namijenjene poduzetnicima putem kojih razvijaju kompetencije nužne za unaprjeđenje poslovanja, uključujući znanja o pripremi i provedbi projekata financiranih iz EU izvora</t>
  </si>
  <si>
    <t xml:space="preserve">Broj održanih edukacija </t>
  </si>
  <si>
    <t>²</t>
  </si>
  <si>
    <t>Projekti proširenja prostornih kapaciteta poduzetnika u poslovnim zonama</t>
  </si>
  <si>
    <t>Broj izdanih građevinskih dozvola  za poduzetnike u poslovnim zonama</t>
  </si>
  <si>
    <t>Prikazuje broj projekata proširenja prostornih kapaciteta postojećih i izgradnje novih prostornih kapaciteta poduzetnika u zonama</t>
  </si>
  <si>
    <t>Poduzeća koja djeluju u poduzetničkom inkubatoru MŽ</t>
  </si>
  <si>
    <t xml:space="preserve">Ukupan broj poduzeća inkubiranih u poduzetničkom inkubatoru </t>
  </si>
  <si>
    <t>Broj poduzeća</t>
  </si>
  <si>
    <t>Broj aktivnih obrta na području MŽ</t>
  </si>
  <si>
    <t>Pokazuje koliko je aktivnih obrta na području MŽ</t>
  </si>
  <si>
    <t>Broj obrta</t>
  </si>
  <si>
    <t>³</t>
  </si>
  <si>
    <t>Provedeni projekti usmjereni tehnološkom razvoju lokalnih poduzeća</t>
  </si>
  <si>
    <t xml:space="preserve">Broj projekata </t>
  </si>
  <si>
    <t xml:space="preserve">Projekti čija je provedba u tijeku ili su završeni u periodu trajanja važenja ŽRS, a tiču se razvoja infrastrukture za podršku tehnološkom razvoju i poticanja primjene visoke tehnologije  </t>
  </si>
  <si>
    <t>Razvojni projekti u suradnji akademske i istraživačke zajednice i gospodarstva</t>
  </si>
  <si>
    <t>Odnosi se na osmišljene i pokrenute projekte koji se zasnivaju na suradnji akademske i istraživačke zajednice i gospodarstva (Razvojno-edukacijski centar za metalsku industriju – Metalska jezgra Čakovec)</t>
  </si>
  <si>
    <t>Broj projekata</t>
  </si>
  <si>
    <t>Broj aktivnosti kojima se promiče interesno povezivanje poduzetnika</t>
  </si>
  <si>
    <t>Broj aktivnosti</t>
  </si>
  <si>
    <t>Aktivnosti promicanja interesnog povezivanja poduzetnika pokrenute od strane nositelja mjere</t>
  </si>
  <si>
    <t xml:space="preserve">Broj posjeta diplomatskih predstavnika stranih država i inozemnih gospodarskih delegacija </t>
  </si>
  <si>
    <t>Putem posjeta inozemnih diplomata ili gospodarskih agencija otvaraju se mogućnosti za nove poslovne kontakte i ostvarenje novih izvoznih poslova</t>
  </si>
  <si>
    <t>Broj posjeta</t>
  </si>
  <si>
    <t>APP: Provođenje programa financijske potpore poduzetnicima</t>
  </si>
  <si>
    <t>APP:Informiranje i edukacije o dostupnim instrumentima za sufinanciranje ulaganja i podrška u pripremi projektnih prijedloga poduzetnika za sufinanciranje projekata ulaganja iz EU i nacionalnih programa</t>
  </si>
  <si>
    <t>APP: Jačanje kapaciteta poduzeća i institucija kroz različite vidove usavršavanja i osposobljavanja</t>
  </si>
  <si>
    <t>APP: Educiranje i podizanje svijesti o mjerama aktivne politike za zapošljavanje, mogućnosti financiranja za poduzetnike iz ESF-a te educiranja zaposlenih ljudi unutar poduzeća</t>
  </si>
  <si>
    <t>APP: Stvaranje preduvjeta za funkcioniranje zona (rješavanje vlasničkih odnosa, izgradnja infrastrukture u skladu s realnim potrebama, utvrđivanje prioriteta u pripremi gospodarskih zona) u skladu sa svim važećim prostornim i strateškim dokumentima</t>
  </si>
  <si>
    <t>APP: Jačanje kapaciteta za promicanje ulaganja, upravljanje zonama i odnosima s ulagačima</t>
  </si>
  <si>
    <t>APP: Promicanje domaćih i stranih ulaganja u Međimurje kroz izravne kontakte s potencijalnim ulagačima iz ciljnih sektora</t>
  </si>
  <si>
    <t xml:space="preserve">APP: Unaprjeđenje infrastrukture gospodarske zone Poslovni park Međimurje </t>
  </si>
  <si>
    <t>APP: Podrška poduzetnicima početnicima</t>
  </si>
  <si>
    <t>APP: Predinkubacija, coworking, inkubacija poduzetnika početnika</t>
  </si>
  <si>
    <t>APP: Pokretanje programa mentorstva za buduće poduzetnike i organiziranje mobilnog tima za podršku poduzetnicima početnicima</t>
  </si>
  <si>
    <t>APP: Promicanje obrta i obrtništva informiranjem javnosti o obrtu i obrtništvu te sudjelovanjem u kreiranju i provođenju europskih politika i prava usklađenih s tradicionalnim vrijednostima hrvatskog obrtništva</t>
  </si>
  <si>
    <t>APP: Pružanje stručne pomoći pri osnivanju i poslovanju obrta</t>
  </si>
  <si>
    <t>APP: Promidžba i promicanje projekata na području društvenog poduzetništva</t>
  </si>
  <si>
    <t>APP: Rekonstrukacija i opremanje za potrebe osnivanja Razvojno-edukacijskog centra za metalsku industriju - Metalska jezgra Čakovec</t>
  </si>
  <si>
    <t>APP: Potpora postojećoj suradnji obrazovnih institucija i gospodarstvenika te poticanje širenja mreže suradnje</t>
  </si>
  <si>
    <t>APP: Poticanje rada različitih udruženja gospodarstvenika</t>
  </si>
  <si>
    <t>APP: Ažuriranje baze podataka poslovnih i proizvodnih profila poduzeća</t>
  </si>
  <si>
    <t>APP: Medijske kampanje promocije međimurskog gospodarstva i primjera dobre prakse i razvoj imidža Međimurja u skladu sa sloganom "Međimurje..jer uspjeh nije slučajnost"</t>
  </si>
  <si>
    <t>APP:  Stvaranje preduvjeta za funkcioniranje zona (rješavanje vlasničkih odnosa, izgradnja infrastrukture u skladu s realnim potrebama, utvrđivanje prioriteta u pripremi gospodarskih zona) u skladu sa svim važećim prostornim i strateškim dokumentima</t>
  </si>
  <si>
    <t>Bruto domaći proizvod po stanovniku</t>
  </si>
  <si>
    <t>APP: Educiranje i podizanje svijesti o mjerama aktivne politike za zapošljavanje, mogućnosti financiranja za poduzetnike iz ESF-a te educiranja zaposlenika unutar poduzeća</t>
  </si>
  <si>
    <t>Udio PG-a koji raspolažu većim površinama poljoprivrednog zemljišta</t>
  </si>
  <si>
    <t>Povećanje postotnog udjela poljoprivrednih gospodarstava koji raspolažu s više od tri ha poljoprivrednog zemljišta</t>
  </si>
  <si>
    <t>APP: Dodjela financijskih potpora u svrhu okrupnjavanja poljoprivrednih zemljišnih čestica</t>
  </si>
  <si>
    <t>APP: Provedba projekata  komasacije poljoprivrednog zemljišta s ciljem smanjenja usitnjenosti i rascjepkanosti poljoprivrednih čestica</t>
  </si>
  <si>
    <t>APP: Podizanje svijesti i motivacija poljoprivrednih proizvođača o potrebi okrupnjivanja poljoprivrednog zemljišta te provedba poticajnih mjera u svrhu spajanja zemljišnih čestica</t>
  </si>
  <si>
    <t>APP: Uspostava sustava za navodnjavanje čime se povećava vrijednost zemljišta- Sustav navodnjavanja Kuršanec</t>
  </si>
  <si>
    <t>APP: Izrada dokumentacije za uspostavu sustava za  navodnjavanje-
Projekt navodnjavanja Prelog - Donji Kraljevec</t>
  </si>
  <si>
    <t>APP:Izrada dokumentacije za uspostavu sustava za  navodnjavanje-
Projekt navodnjavanja Belica</t>
  </si>
  <si>
    <t xml:space="preserve">Broj </t>
  </si>
  <si>
    <t>APP: Implementacija projekta "AgriShort" u svrhu uspostavljanja odgovarajućih modela kratkih opskrbnih lanaca</t>
  </si>
  <si>
    <t>APP: Potpora poljoprivrednicima za  stvaranje poslovnih veza i osnivanje različitih oblika interesnih udruženja u vidu organizacije edukacija, predavanja te poljoprivredno poslovnih foruma</t>
  </si>
  <si>
    <t xml:space="preserve">Centri za poljoprivredno – prehrambene proizvode </t>
  </si>
  <si>
    <t>APP: Podrška u poslovnom planiranju  s ciljem olakšavanja pristupa različitim oblicima financiranja za uspostavu skladišnih, prerađivačkih i distribucijskih centara za poljoprivredno - prehrambene proizvode</t>
  </si>
  <si>
    <t>Proizvodi uključeni u sustave kvalitete</t>
  </si>
  <si>
    <t>APP: Zaštita i promocija  regionalnih posebnosti proizvoda</t>
  </si>
  <si>
    <t>APP: Podizanje razine svijesti o kvaliteti i jedinstvenim značajkama proizvoda iz Međimurja te pružanje informacija o izvorima financiranja za programe kvalitete za poljoprivredne proizvode i hranu</t>
  </si>
  <si>
    <t xml:space="preserve">Poljoprivrednici s višim stupnjem formalnog obrazovanja </t>
  </si>
  <si>
    <t>Povećanje postotnog udjela poljoprivrednika s višim i visokim stupnjem formalnog obrazovanja (VŠS, VSS)</t>
  </si>
  <si>
    <t>3, 30 %</t>
  </si>
  <si>
    <t xml:space="preserve">Poljoprivrednici sa završenim programom strukovnog osposobljavanja </t>
  </si>
  <si>
    <t>Broj poljoprivrednika koji su završili program strukovnog osposobljavanja u sklopu Mjere 1. iz Programa ruralnog razvoja</t>
  </si>
  <si>
    <t>Ekološki proizvođači</t>
  </si>
  <si>
    <t>Kumulativno povećanje broja subjekata koji se bave ekološkom poljoprivrednom proizvodnjom</t>
  </si>
  <si>
    <t xml:space="preserve">Površine pod ekološkom proizvodnjom </t>
  </si>
  <si>
    <t>Kumulativno povećanje broja ha poljoprivrednih površina u sustavu ekološke poljoprivredne proizvodnje</t>
  </si>
  <si>
    <t>Ha</t>
  </si>
  <si>
    <t>APP:Pružanje podrške za prijelaz sa konvencionalne na ekološku poljoprivrednu proizvodnju</t>
  </si>
  <si>
    <t>APP:Potpora očuvanju genetskih resursa u poljoprivredi- zaštita međimurskog konja</t>
  </si>
  <si>
    <t>APP: Subvencije i poticaji za bavljenje poljoprivrednom djelatnošću za mlade poljoprivrednike i one koji se vraćaju iz grada na selo</t>
  </si>
  <si>
    <t xml:space="preserve">APP:Implementacija projekta OLVANEP s ciljem očuvanja biološke raznolikosti starih/tradicionalnih vrsta voćaka </t>
  </si>
  <si>
    <t>APP: Implementacija projekta TRUE s ciljem istraživanja i unaprjeđenja proizvodnih procesa mahunarki ili leguminoza</t>
  </si>
  <si>
    <t>APP: Pružanje podrške za bavljenje poljoprivrednom djelatnošću kroz informiranje i edukacije o  poslovnom planiranju, proizvodnim tehnologijama, primjeni inovativnih rješenja u proizvodnim procesima, uvođenju novih standarda EU te ekološkoj poljoprivredi</t>
  </si>
  <si>
    <t>Ostvareni projekti u turizmu</t>
  </si>
  <si>
    <t>Certificirani proizvodi i usluge</t>
  </si>
  <si>
    <t>Broj novo- certificiranih turističkih proizvoda i usluga na godišnjoj razini</t>
  </si>
  <si>
    <t>Objekti i površine stavljene turističku funkciju</t>
  </si>
  <si>
    <t xml:space="preserve">Broj privatnih objekata te broj javnih površina stavljenih u funkciju turizma na godišnjoj razini  </t>
  </si>
  <si>
    <t xml:space="preserve">APP: Uređenje javnih prostora u turističke svrhe </t>
  </si>
  <si>
    <t>APP: Izrada i provedba programa i projekata  za podizanje razine kvalitete turističkih proizvoda i usluga</t>
  </si>
  <si>
    <t>Modeli edukacija</t>
  </si>
  <si>
    <t>Broj novo-razrađenih modela edukacija i treninga na godišnjoj razini</t>
  </si>
  <si>
    <t>Integrirani turistički proizvodi</t>
  </si>
  <si>
    <t xml:space="preserve">Broj novo- uspostavljenih integriranih turističkih proizvoda na godišnjoj razini </t>
  </si>
  <si>
    <t>Interesna udruženja u turističkom sektoru</t>
  </si>
  <si>
    <t>Broj novoosnovanih interesnih udruženja dionika koji djeluju u turističkom sektoru na godišnjoj razini</t>
  </si>
  <si>
    <t>APP: Provođenje treninga i edukacija te prijenos stečenog znanja putem projekta Cross-craft</t>
  </si>
  <si>
    <t>APP: Održavanje edukacija i pružanje savjetodavnih usluga</t>
  </si>
  <si>
    <t>APP: Razrada modela povezivanja dionika u turizmu</t>
  </si>
  <si>
    <t>Sustavi  kvalitete u turizmu</t>
  </si>
  <si>
    <t>Godišnji broj novo- uvedenih sustava kvalitete za turističke proizvode i usluge</t>
  </si>
  <si>
    <t xml:space="preserve">APP: Podizanje razine svijesti o kvaliteti proizvoda i usluga i samog okruženja </t>
  </si>
  <si>
    <t>APP: Održavanje edukacija namijenjenih ključnim dionicima</t>
  </si>
  <si>
    <t xml:space="preserve">Vizualni identitet </t>
  </si>
  <si>
    <t xml:space="preserve">Osmišljeni vizualni identitet  Međimurske županije na godišnjoj razini </t>
  </si>
  <si>
    <t>Promotivna kampanja</t>
  </si>
  <si>
    <t xml:space="preserve">Broj provedenih promotivnih kampanja za Međimursku županiju na godišnjoj razini </t>
  </si>
  <si>
    <t xml:space="preserve">APP: Promocija MŽ kao cjelovite turističke regije </t>
  </si>
  <si>
    <t>APP: Implementacija Strateškog marketinškog plana razvoja turizma putem prekogranične suradnje</t>
  </si>
  <si>
    <t>Sustav za upravljanje turističkom destinacijom</t>
  </si>
  <si>
    <t>Uspostavljen sustav za kvalitetno upravljanje turističkom destinacijom</t>
  </si>
  <si>
    <t>-</t>
  </si>
  <si>
    <t>APP: Jačanje kapaciteta sustava turističkih zajednica (JLS)</t>
  </si>
  <si>
    <t xml:space="preserve"> Uređenje javnih prostora u turističke svrhe </t>
  </si>
  <si>
    <t>Osiguranje financijskih sredstava za dodjelu potpore za diversifikaciju i specijalizaciju turističke ponude</t>
  </si>
  <si>
    <t xml:space="preserve"> Izrada i provedba programa i projekata  za podizanje razine kvalitete turističkih proizvoda i usluga</t>
  </si>
  <si>
    <t>Provođenje treninga i edukacija te prijenos stečenog znanja putem projekta Cross-craft</t>
  </si>
  <si>
    <t>Održavanje edukacija i pružanje savjetodavnih usluga</t>
  </si>
  <si>
    <t>Razrada modela povezivanja dionika u turizmu</t>
  </si>
  <si>
    <t xml:space="preserve">Podizanje razine svijesti o kvaliteti proizvoda i usluga i samog okruženja </t>
  </si>
  <si>
    <t>Održavanje edukacija namijenjenih ključnim dionicima</t>
  </si>
  <si>
    <t>Promocija MŽ kao cjelovite turističke regije</t>
  </si>
  <si>
    <t>Implementacija Strateškog marketinškog plana razvoja turizma putem prekogranične suradnje</t>
  </si>
  <si>
    <t>Jačanje kapaciteta sustava turističkih zajednica (JLS)</t>
  </si>
  <si>
    <t>Projekti financirani sredstvima iz OP Učinkoviti ljudski potencijali</t>
  </si>
  <si>
    <t>Broj ugovora</t>
  </si>
  <si>
    <t>APP: Prikupljanje i praćenje projekata sufinanciranih iz OP Učinkoviti ljudski potencijali</t>
  </si>
  <si>
    <t>APP: Izgradnja školske sportske dvorane OŠ Goričan</t>
  </si>
  <si>
    <t>APP: Izgradnja školske sportske dvorane OŠ Strahoninec</t>
  </si>
  <si>
    <t>APP: Izgradnja škole i dvorane OŠ Pribislavec</t>
  </si>
  <si>
    <t>APP: Izgradnja školske sportske dvorane OŠ Sveta Marija</t>
  </si>
  <si>
    <t>APP: Centar za odgoj i obrazovanje Čakovec</t>
  </si>
  <si>
    <t>APP: Izgradnja Studentskog doma MEV</t>
  </si>
  <si>
    <t>APP: Izgradnja, dogradnja, rekonstrukcija i opremanje dječjih vrtića u JLS</t>
  </si>
  <si>
    <t>APP: Stipendiranje i kreditiranje učenika i studenata od strane javno-pravnih tijela MŽ</t>
  </si>
  <si>
    <t>APP: Usluga pomoćnika u nastavi i vrtićima</t>
  </si>
  <si>
    <t>APP: Financijska potpora dječjem vrtiću Fijolica Prelog za program za rad s djecom s autističnim poremećajima</t>
  </si>
  <si>
    <t>APP: Poticanje rada s potencijalno darovitom djecom i učenicima na predtercijarnoj razini</t>
  </si>
  <si>
    <t>APP: Programska, stručna i financijska potpora obrazovanju učenika pripadnika romske nacionalne manjine</t>
  </si>
  <si>
    <t>Izgrađene i opremljene sportske školske dvorane</t>
  </si>
  <si>
    <t>Broj dvorana</t>
  </si>
  <si>
    <t>Izgrađen studentski dom</t>
  </si>
  <si>
    <t>Ulaganja u opremanje, obnovu i izgradnju školskih objekata</t>
  </si>
  <si>
    <t>Iznos financijskih sredstava iz proračuna MŽ i Grada Čakovca usmjerenih na opremanje, obnovu i izgradnju školskih objekata</t>
  </si>
  <si>
    <t>HRK</t>
  </si>
  <si>
    <t>Učenici romske nacionalne manjine upisani u OŠ</t>
  </si>
  <si>
    <t>Broj učenika romske nacionalne manjine upisani u OŠ</t>
  </si>
  <si>
    <t>Broj učenika</t>
  </si>
  <si>
    <t>Učenici romske nacionalne manjine upisani u SŠ</t>
  </si>
  <si>
    <t>Broj učenika romske nacionalne manjine upisani u SŠ</t>
  </si>
  <si>
    <t>Projekti mobilnosti koje provode obrazovne institucije</t>
  </si>
  <si>
    <t>Broj projekata mobilnosti koje provode obrazovne institucije</t>
  </si>
  <si>
    <t>Stipendije dodijeljene učenicima upisanima u deficitarna zanimanja</t>
  </si>
  <si>
    <t>Broj učenika upisanih u deficitarna zanimanja kojima je dodijeljena stipendija</t>
  </si>
  <si>
    <t>Projekt Lokalno partnerstvo za zapošljavanje</t>
  </si>
  <si>
    <t>APP: Stipendije dodijeljene za deficitarna zanimanja od strane HOK-a</t>
  </si>
  <si>
    <t>APP: Lokalno partnerstvo za zapošljavanje MŽ</t>
  </si>
  <si>
    <t>Program Tjedna cjeloživotnog učenja u Međimurskoj županiji</t>
  </si>
  <si>
    <t>Broj sudionika na događanjima obilježavanja Tjedna cjeloživotnog učenja u Međimurskoj županiji</t>
  </si>
  <si>
    <t>Broj sudionika</t>
  </si>
  <si>
    <t>APP: Promoviranje cjeloživotnog učenja</t>
  </si>
  <si>
    <t>Korisnici programa osposobljavanja</t>
  </si>
  <si>
    <t>Broj korisnika programa osposobljavanja prema potrebama tržišta rada u evidenciji HZZ-a</t>
  </si>
  <si>
    <t>Broj korisnika</t>
  </si>
  <si>
    <t>APP: Programi osposobljavanja nezaposlenih osoba za tržište rada financirani od strane HZZ-a</t>
  </si>
  <si>
    <t>Nezaposleni Romi u evidenciji nezaposlenih</t>
  </si>
  <si>
    <t>Udio nezaposlenih Roma u ukupnoj nezaposlenosti u MŽ (godišnji prosjek)</t>
  </si>
  <si>
    <t>Udio nezaposlenih Roma</t>
  </si>
  <si>
    <t>Mladi obuhvaćeni raznim oblicima potpora za zapošljavanje / usavršavanje</t>
  </si>
  <si>
    <t>Udio mladih nezaposlenih (do 29. godina) koji su primili potporu za zapošljavanje/usavršavanje</t>
  </si>
  <si>
    <t>Udio primatelja potpora</t>
  </si>
  <si>
    <t>Mladi korisnici mjera za samozapošljavanje</t>
  </si>
  <si>
    <t>Udio mladih osoba (do 29. godina) koji su korisnici mjera za samozapošljavanje prema evidenciji HZZ-a</t>
  </si>
  <si>
    <t>Udio samozaposlenih mladih</t>
  </si>
  <si>
    <t>APP: Program samozapošljavanja mladih</t>
  </si>
  <si>
    <t>APP: Program potpora mladima za zapošljavanje/usavršavanje</t>
  </si>
  <si>
    <t>Postotak smanjenja upućivanja u bolnice kroz povećanje broja usluga na razini PZZ</t>
  </si>
  <si>
    <t>Projekti ulaganja u opremu i infrastrukturu</t>
  </si>
  <si>
    <t xml:space="preserve">Iznos ulaganja u zdravstvenu opremu i infrastrukturu </t>
  </si>
  <si>
    <t>APP: Izgradnja, rekonstrukcija i opremanje objekata u sklopu Zavoda za hitnu medicinu</t>
  </si>
  <si>
    <t>APP: Primarna zdravstvena zaštita Dom zdravlja Čakovec</t>
  </si>
  <si>
    <t>APP: Ulaganje u usavršavanje zdravstvenih djelatnika</t>
  </si>
  <si>
    <t>APP: Projekt "CrossCare" Interreg Slovenija-Hrvatska 2014. - 2020.</t>
  </si>
  <si>
    <t>Odaziv na preventivni pregled ranog otkrivanja raka dojke</t>
  </si>
  <si>
    <t>Postotak odaziva korisnika preventivnih programa ZZJZ-a RH na preventivne preglede u MŽ</t>
  </si>
  <si>
    <t>Postotak odaziva</t>
  </si>
  <si>
    <t>Odaziv na preventivni program ranog otkrivanja raka grlića maternice</t>
  </si>
  <si>
    <t>Odaziv na preventivni pregled ranog otkrivanja raka debelog crijeva</t>
  </si>
  <si>
    <t>APP: Promicanje zdravlja, prevencija i rano otkrivanje bolesti</t>
  </si>
  <si>
    <t>APP: Savjet za zdravlje</t>
  </si>
  <si>
    <t>Kampanje za promicanje zdravih životnih stilova</t>
  </si>
  <si>
    <t>Broj kampanja</t>
  </si>
  <si>
    <t>APP: Promicanje zdravog načina života kroz sportsko-rekreacijske aktivnosti i manifestacije</t>
  </si>
  <si>
    <t>APP: Izgradnja sportskog doma "Mladost" Ivanovec</t>
  </si>
  <si>
    <t>Nove izvaninstitucionalne usluge</t>
  </si>
  <si>
    <t>Broj usluga</t>
  </si>
  <si>
    <t>Korisnici skrbi izvan vlastite obitelji - udomiteljstvo</t>
  </si>
  <si>
    <t xml:space="preserve">Broj korisnika u udomiteljstvu </t>
  </si>
  <si>
    <t>APP: Financijska potpora izvaninstitucionalnim uslugama</t>
  </si>
  <si>
    <t>Korisnici zajamčene minimalne naknade</t>
  </si>
  <si>
    <t>Broj korisnika zajamčene minimalne naknade</t>
  </si>
  <si>
    <t>APP: Sigurna kuća</t>
  </si>
  <si>
    <t>APP: Pučka kuhinja u Čakovcu</t>
  </si>
  <si>
    <t>APP: Promocija udomiteljstva</t>
  </si>
  <si>
    <t>Dodijeljene potpore za provedbu programa/inicijativa/projekata od strane JL(R)S</t>
  </si>
  <si>
    <t>Broj potpora dodijeljenih od strane JL(R)S prema evidenciji Ureda za udruge RH</t>
  </si>
  <si>
    <t>Broj potpora</t>
  </si>
  <si>
    <t>Alokacija financijskih sredstava za udruge u proračunima JL(R)S</t>
  </si>
  <si>
    <t>Ukupna alokacija sredstava za organizacije civilnog društva iz proračuna JL(R)S</t>
  </si>
  <si>
    <t xml:space="preserve">Osnivanje Zaklade lokalne zajednice za razvoj civilnog društva </t>
  </si>
  <si>
    <t>Osnovana Zaklada lokalne zajednice za razvoj civilnog društva</t>
  </si>
  <si>
    <t>APP: Poticanje programa i aktivnosti OCD-ova od strane JLRS-ova</t>
  </si>
  <si>
    <t>APP: Jačanje ljudskih potencijala u OCD-ovima</t>
  </si>
  <si>
    <t>APP: Regionalna zaklada za razvoj lokalne zajednice i civilnog društva</t>
  </si>
  <si>
    <t>Međusektorski programi, projekti, inicijative razvijeni u partnerstvu OCD-ova i JL(R)S-ova</t>
  </si>
  <si>
    <t>Broj programa, projekata i inicijativa</t>
  </si>
  <si>
    <t xml:space="preserve">Odrađeni volonterski sati </t>
  </si>
  <si>
    <t>Broj odrađenih volonterskih sati prema evidenciji MSPM</t>
  </si>
  <si>
    <t>Broj sati</t>
  </si>
  <si>
    <t xml:space="preserve">Broj volontera u lokalnom volonterskom centru </t>
  </si>
  <si>
    <t>Broj volontera registriranih kod VUM-a</t>
  </si>
  <si>
    <t>Broj volontera</t>
  </si>
  <si>
    <t>APP: Društveni centar Čakovec</t>
  </si>
  <si>
    <t>APP: Volonterski ured Međimurja</t>
  </si>
  <si>
    <t>Strategija razvoja kulture u MŽ</t>
  </si>
  <si>
    <t>Broj posjetitelja u muzejima</t>
  </si>
  <si>
    <t>Broj posjetitelja u Muzeju Međimurja Čakovec i Muzeja "Croata insulanus" Prelog</t>
  </si>
  <si>
    <t>Broj posjetitelja</t>
  </si>
  <si>
    <t>Broj članova knjižnica</t>
  </si>
  <si>
    <t>Broj članova u narodnim knjižnicama</t>
  </si>
  <si>
    <t>Broj članova</t>
  </si>
  <si>
    <t>Broj posjetitelja izložbi</t>
  </si>
  <si>
    <t>Broj posjetitelja na otvorenju izložbi u organizaciji Centra za kulturu Čakovec</t>
  </si>
  <si>
    <t>APP: Priprema i provedba kulturnih sadržaja od strane javnih ustanova u kulturi u MŽ</t>
  </si>
  <si>
    <t>APP: Digitalizacija arhivske, muzejske i knjižnične građe</t>
  </si>
  <si>
    <t>APP: Opremanje knjižnica i proširenje knjižnog fonda</t>
  </si>
  <si>
    <t>Financijska sredstva za obnovu materijalne kulturne baštine</t>
  </si>
  <si>
    <t>Iznos financijskih sredstava MŽ za obnovu materijalne kulturne baštine</t>
  </si>
  <si>
    <t>Financijska sredstva za programe nematerijalne kulturne baštine</t>
  </si>
  <si>
    <t>Iznos financijskih sredstava MŽ za programe nematerijalne kulturne baštine</t>
  </si>
  <si>
    <t>APP: Potpora programima u kulturi</t>
  </si>
  <si>
    <t>APP: Ulaganja u sakralne objekte</t>
  </si>
  <si>
    <t>APP: Obnova i opremanje postojećih objekata kulturne infrastrukture (Domovi kulture, kulturni centri)</t>
  </si>
  <si>
    <t>APP: Obnova i opremanje ostale materijalne kulturne baštine</t>
  </si>
  <si>
    <t>APP: Revitalizacija i obnova starog grada Zrinskih</t>
  </si>
  <si>
    <t>APP: Izrada Strategije razvoja kulture u MŽ</t>
  </si>
  <si>
    <t>Novomedijska događanja</t>
  </si>
  <si>
    <t>Broj festivala i manifestacija s naglaskom na novomedijsku kulturu</t>
  </si>
  <si>
    <t>Broj novomedijskih događanja</t>
  </si>
  <si>
    <t>APP: Priprema i provedba manifestacija novomedijske kulture</t>
  </si>
  <si>
    <t xml:space="preserve">APP: Izrada Strategije razvoja kulture u MŽ </t>
  </si>
  <si>
    <t>Iznos ulaganja u sustav zaštite okoliša i upravljanja zaštićenim dijelovima prirode i ekološke mreže na području Međimurske županije</t>
  </si>
  <si>
    <t>Iznos proračuna JU Međimurska priroda koja predstavlja osnovu sustava zaštite okoliša i upravljanja zaštićenim dijelovima prirode i ekološke mreže na području Međimurske županije</t>
  </si>
  <si>
    <t>Plan upravljanja  zaštićenim dijelovima prirode i ekološkom mrežom na području Međimurske županije</t>
  </si>
  <si>
    <t>APP: Jačanje kapaciteta JU Međimurska priroda</t>
  </si>
  <si>
    <t>APP: Izrada plana upravljanja zaštićenim dijelovima prirode i ekološkom mrežom na području MŽ</t>
  </si>
  <si>
    <t>Održani edukativni programi</t>
  </si>
  <si>
    <t>Broj održanih programa jačanja svijesti  stanovništva o važnosti očuvanja i zaštite prirodne baštine, okoliša, o postupanju s otpadom i sl.</t>
  </si>
  <si>
    <t>APP: Provedba programa, projekata i ostalih aktivnosti vezanih uz promicanje važnosti zaštite prirode i okoliša</t>
  </si>
  <si>
    <t xml:space="preserve">Priključenost stanovništva na sustav vodoopskrbe </t>
  </si>
  <si>
    <t xml:space="preserve">Postotak kućanstava priključenih na izgrađenu (dostupnu) infrastrukturu vodoopskrbe </t>
  </si>
  <si>
    <t>%</t>
  </si>
  <si>
    <t>Priključenost stanovništva na sustav odvodnje</t>
  </si>
  <si>
    <t>Postotak kućanstava priključenih na izgrađenu (dostupnu) infrastrukturu odvodnje</t>
  </si>
  <si>
    <t>APP: Sustav odvodnje i pročišćavanja otpadnih voda aglomeracije Mursko Središće</t>
  </si>
  <si>
    <t>APP: Aglomeracija Donja Dubrava (sustav odvodnje – kanalizacija)</t>
  </si>
  <si>
    <t>APP: Izgradnja sanitarne kanalizacijske mreže naselja Čehovec</t>
  </si>
  <si>
    <t>APP: Rekonstrukcija vodovodne mreže od vodospreme Železna Gora do precrpne stanice Urban</t>
  </si>
  <si>
    <t>APP: Produžetak vodovodne mreže u Orehovici – Zona Križopotje</t>
  </si>
  <si>
    <t>APP: Izgradnja vodovodne mreže i mješovite i sanitarne kanalizacijske mreže s precrpnom stanicom u zoni „Brezje“ u Mihovljanu</t>
  </si>
  <si>
    <t>APP: Vodovodna mreža gospodarske zone „Sjeveroistok“ u Donjoj Dubravi</t>
  </si>
  <si>
    <t>Prikupljeni komunalni otpad po stanovniku</t>
  </si>
  <si>
    <t>Količina prikupljenog komunalnog otpada po stanovniku po pojedinim godinama</t>
  </si>
  <si>
    <t>kg/stanovnik</t>
  </si>
  <si>
    <t>APP: Sanacija odlagališta</t>
  </si>
  <si>
    <t>APP: Izgradnja oporabilišta Totovec</t>
  </si>
  <si>
    <t xml:space="preserve">APP: Regionalni centar gospodarenja otpadom Piškornica </t>
  </si>
  <si>
    <t>APP: Gradnja i opremanje reciklažnih dvorišta</t>
  </si>
  <si>
    <t xml:space="preserve">Modernizirane lokalne ceste  </t>
  </si>
  <si>
    <t>Dužina izgrađenih ili moderniziranih cesta, koje će kvalitetno povezivati sva naselja, uključujući izgradnju pješačko-biciklističkih staza/traka uz prometnice</t>
  </si>
  <si>
    <t>km</t>
  </si>
  <si>
    <t xml:space="preserve">Modernizirane županijske ceste   </t>
  </si>
  <si>
    <t>APP: Izgradnja, rekonstrukcija  i modernizacija cesta</t>
  </si>
  <si>
    <t>APP: Izgradnja, rekonstrukcija  i modernizacija nerazvrstanih cesta</t>
  </si>
  <si>
    <t>APP: Izgradnja, rekonstrukcija  i modernizacija pješačko-biciklističkih staza</t>
  </si>
  <si>
    <t>APP: Provedba pilot projekta integiranog sustava javnog prijevoza</t>
  </si>
  <si>
    <t>APP: Projekt MOST - održiva mobilnost za bolju povezanost</t>
  </si>
  <si>
    <t>Postavljene punionice za e-bicikle</t>
  </si>
  <si>
    <t>APP: Planiranje i izvedba mreže punionica za e-bicikle, e-automobile itd.</t>
  </si>
  <si>
    <t xml:space="preserve">Širokopojasni priključci </t>
  </si>
  <si>
    <t xml:space="preserve">Broj novih priključaka na širokopojasnu nepokretnu komunikacijsku mrežu </t>
  </si>
  <si>
    <t xml:space="preserve">APP: Izrada programa razvoja širokopojasnog interneta za JLS-e te uvođenje širokopojasnog interneta na području </t>
  </si>
  <si>
    <t>APP Izrada plana upravljanja zaštićenim dijelovima prirode i ekološkom mrežom na području MŽ</t>
  </si>
  <si>
    <t>APP: zgradnja, rekonstrukcija  i modernizacija pješačko-biciklističkih staza</t>
  </si>
  <si>
    <t xml:space="preserve">Održane edukativne aktivnosti (radionice, seminari) </t>
  </si>
  <si>
    <t>Broj održanih edukativnih aktivnosti o energetskoj učinkovitosti i važnosti korištenja OIE</t>
  </si>
  <si>
    <t>APP: Provedba kampanja podizanja svijesti šire javnosti o mogućnostima korištenja OIE u kombinaciji s pametnim mrežama i učinkovitim skladištenjem, e-mobilnošću</t>
  </si>
  <si>
    <t>APP:  Savjetodavne usluge i informativne kampanje za energetsku obnovu stambenih zgrada, obiteljskih kuća, objekata u komercijalno – uslužnom sektoru, poduzetništvu i industriji</t>
  </si>
  <si>
    <t>Ugrađeni sustavi OIE u javnim zgradama</t>
  </si>
  <si>
    <t>Broj ugrađenih sustava koji koriste OIE u javnim zgradama u vlasništvu Međimurske županije ili u vlasništvu institucija kojima je županija osnivač</t>
  </si>
  <si>
    <t xml:space="preserve">APP: - Izrada analiza i studija neiskorištenih energetskih potencijala </t>
  </si>
  <si>
    <t xml:space="preserve">APP:- Izrada strateških i planskih dokumenata </t>
  </si>
  <si>
    <t>APP:  Provedba infrastrukturnih projekata</t>
  </si>
  <si>
    <t xml:space="preserve">Energetski obnovljene javne zgrade </t>
  </si>
  <si>
    <t>Broj energetski obnovljenih javnih zgrada u vlasništvu Međimurske županije ili u vlasništvu institucija kojima je županija osnivač</t>
  </si>
  <si>
    <t>APP: Poticanje na racionalno korištenje energije u privatnom sektoru</t>
  </si>
  <si>
    <t>APP: Modernizacija javne rasvjete + Projekt Dynamic Light</t>
  </si>
  <si>
    <t>Izrađena Procjena rizika za Međimursku županiju</t>
  </si>
  <si>
    <t xml:space="preserve">Izrađena procjene rizika za Međimursku županiju </t>
  </si>
  <si>
    <t xml:space="preserve">Izrađen Plan civilne zaštite Međimurske županije </t>
  </si>
  <si>
    <t xml:space="preserve">Izrađen plan civilne zaštite Međimurske županije </t>
  </si>
  <si>
    <t xml:space="preserve">APP: Izrada procjene rizika </t>
  </si>
  <si>
    <t xml:space="preserve">APP: Izrada Plana civilne zaštite </t>
  </si>
  <si>
    <t>APP: Izrada gemorfološke osnove</t>
  </si>
  <si>
    <t xml:space="preserve">APP: Obrana od tuče </t>
  </si>
  <si>
    <t>APP: Projekt prekogranične suradnje vezan uz civilnu zaštitu</t>
  </si>
  <si>
    <t>Tiskani materijal brošure</t>
  </si>
  <si>
    <t>Broj tiskanih materijala o načinu postupanja prilikom prirodnih i elementarnih nepogoda na području Međimurske županije</t>
  </si>
  <si>
    <t xml:space="preserve">APP: Tiskani materijal - brošura o načinu postupanja prilikom prirodnih i elementarnih nepogoda na području Međimurske županije  </t>
  </si>
  <si>
    <t>APP: Obučavanje i opremanje postrojbi civilne zaštite</t>
  </si>
  <si>
    <t xml:space="preserve">APP: Jačanje svijesti stanovništva (edukativne aktivnosti i vježbe) </t>
  </si>
  <si>
    <t>1P4M6</t>
  </si>
  <si>
    <t>Održiv razvoj pčelarstva, lova i ribolova</t>
  </si>
  <si>
    <t>Odstrijeljena divljač</t>
  </si>
  <si>
    <t xml:space="preserve">Povećanje ukupnog broja odstrijeljene divljači u lovištima bez negativnog utjecaja na prirodnu ravnotežu </t>
  </si>
  <si>
    <t>Ulovljena riba</t>
  </si>
  <si>
    <t>Povećanje ukupnog broja ulovljene ribe u ribolovnim vodama bez negativnog utjecaja na prirodnu ravnotežu</t>
  </si>
  <si>
    <t>Broj pčelara</t>
  </si>
  <si>
    <t xml:space="preserve">Broj PG-ova koja se bave pčelarstvom </t>
  </si>
  <si>
    <t>Broj košnica</t>
  </si>
  <si>
    <t>Broj košnica na PG-ovima koja se bave pčelarstvom</t>
  </si>
  <si>
    <t>APP: Unaprjeđenje i razvoj lovstva i slatkovodnog ribarstva</t>
  </si>
  <si>
    <t xml:space="preserve">APP: Pružanje podrške zaštiti lovne divljači te očuvanju pirodne ravnoteže i okoliša </t>
  </si>
  <si>
    <t>Mjera Održiv razvoj pčelarstva, lova i ribolova</t>
  </si>
  <si>
    <t>SVEUKUPNO</t>
  </si>
  <si>
    <t>2017.-2020.</t>
  </si>
  <si>
    <t>APP: Poticanje šire javnosti na racionalno korištenje energije u privatnom sektoru</t>
  </si>
  <si>
    <t xml:space="preserve">APP: Proveba projekata energetske obnove </t>
  </si>
  <si>
    <t>APP: Provedba transnacionalnih projekata usmjerenih na energetsku učinkotost</t>
  </si>
  <si>
    <t>APP: Izrada procjene rizika</t>
  </si>
  <si>
    <t>APP: Projekt prekogranične suradnje</t>
  </si>
  <si>
    <t>APP: Tiskani materijal</t>
  </si>
  <si>
    <t>APP : Sajam prevencije i sigurnosti PU Međimurje (Čakovec i Mursko Središće)</t>
  </si>
  <si>
    <t>Udio</t>
  </si>
  <si>
    <t>Naziv cilja/prioriteta</t>
  </si>
  <si>
    <t>Ne ostaje ovdje; uvrštava se u poglavlje Financijski okvir</t>
  </si>
  <si>
    <t>Planirana sredstva po izvorima</t>
  </si>
  <si>
    <t>Cilj 1: Rast i razvoj gospodarstva</t>
  </si>
  <si>
    <t>1P1 Stvaranje preduvjeta za jačanje konkurentnosti gospodarstva</t>
  </si>
  <si>
    <t>1P2 Poticanje inovacija i stvaranje preduvjeta za razvoj proizvoda i usluga s višom dodanom vrijednošću</t>
  </si>
  <si>
    <t>1P3 Tržišno organiziranje i promocija gospodarstva</t>
  </si>
  <si>
    <t>1P4 Povećanje konkurentnosti poljoprivrednog sektora i uvođenje sustava međimurske kvalitete</t>
  </si>
  <si>
    <t>1P5 Razvoj i promocija turističke ponude s ciljem pozicioniranja Međimurja kao turističke destinacije</t>
  </si>
  <si>
    <t>Cilj 2: Dobrobit stanovništva</t>
  </si>
  <si>
    <t>2P1 Promicanje zapošljavanja, obrazovanja i cjeloživotnog učenja</t>
  </si>
  <si>
    <t>2P2 Unaprjeđenje zdravlja stanovništva i kvalitete zdravstvenih usluga</t>
  </si>
  <si>
    <t>2P3 Poboljšanje kvalitete života skupina u osjetljivom položaju</t>
  </si>
  <si>
    <t xml:space="preserve">2P4 Jačanje uloge civilnog društva </t>
  </si>
  <si>
    <t>2P5 Očuvanje, razvoj i promicanje svih oblika kulture</t>
  </si>
  <si>
    <t>Cilj 3: Očuvani prirodni resursi i razvoj održive infrastrukture</t>
  </si>
  <si>
    <t>3P1 Zaštita prirode i okoliša</t>
  </si>
  <si>
    <t>3P2 Sustavni razvoj prometne i telekomunikacijske infrastrukture</t>
  </si>
  <si>
    <t>3P3 Postizanje veće energetske učinkovitosti Međimurske županije te promicanje i korištenje OIE</t>
  </si>
  <si>
    <t>3P4 Preventivno djelovanje i ublažavanje utjecaja prirodnih i elementarnih nepogoda</t>
  </si>
  <si>
    <t>Planirana sredstva za provedbu skupine mjera u prvoj godini provedbe 
(godina 2017.)</t>
  </si>
  <si>
    <t>1P1</t>
  </si>
  <si>
    <t>1P2</t>
  </si>
  <si>
    <t>1P3</t>
  </si>
  <si>
    <t>1P4M1</t>
  </si>
  <si>
    <t>2P1</t>
  </si>
  <si>
    <t>2P2</t>
  </si>
  <si>
    <t>2P3</t>
  </si>
  <si>
    <t>2P4</t>
  </si>
  <si>
    <t>2P5</t>
  </si>
  <si>
    <t>3P1</t>
  </si>
  <si>
    <t>3P2</t>
  </si>
  <si>
    <t>3P3</t>
  </si>
  <si>
    <t>3P4</t>
  </si>
  <si>
    <t>Ciljana vrijednost (2017.)</t>
  </si>
  <si>
    <t>Ciljana vrijednost (2018.)</t>
  </si>
  <si>
    <t>Ciljana vrijednost (2019.)</t>
  </si>
  <si>
    <t>Iznos sredstava u godini 2017.</t>
  </si>
  <si>
    <t>Iznos sredstava u godini2016.</t>
  </si>
  <si>
    <t>Iznos sredstava u godini 2018.</t>
  </si>
  <si>
    <t>Iznos sredstava u godini 2019.</t>
  </si>
  <si>
    <t>Iznos sredstava u godini 2020.</t>
  </si>
  <si>
    <t>Planirana sredstva za provedbu skupine mjera (2017.-2020.)</t>
  </si>
  <si>
    <t>Projekt: Svjetski centar Pušipela</t>
  </si>
  <si>
    <t>Projekt: Vidikovac Mađerkin breg</t>
  </si>
  <si>
    <t>Projekt: Attractour</t>
  </si>
  <si>
    <t>22 (2015. g.)</t>
  </si>
  <si>
    <t>Ciljana vrijednost (2020.)</t>
  </si>
  <si>
    <t>8.481 (2013. g.)</t>
  </si>
  <si>
    <t>189,28% (2014. g.)</t>
  </si>
  <si>
    <t>56.442 (2015. g.)</t>
  </si>
  <si>
    <t>5 (2015. g.)</t>
  </si>
  <si>
    <t>46 (2015. g.)</t>
  </si>
  <si>
    <t>Polazna vrijednost</t>
  </si>
  <si>
    <t>20 (2014. g.)</t>
  </si>
  <si>
    <t>1256 (2014. g.)</t>
  </si>
  <si>
    <t>0 (2014. g.)</t>
  </si>
  <si>
    <t xml:space="preserve">Broj programa za poticanje društvenog poduzetništva u Međimurskoj županiji </t>
  </si>
  <si>
    <t>Pokazuje dostupnost programa poticanja i podrške društvenog poduzetništva</t>
  </si>
  <si>
    <r>
      <t xml:space="preserve">40,69% </t>
    </r>
    <r>
      <rPr>
        <b/>
        <sz val="10"/>
        <rFont val="Calibri"/>
        <family val="2"/>
      </rPr>
      <t xml:space="preserve"> (2015. g.)</t>
    </r>
  </si>
  <si>
    <t>7 (2015. g.)</t>
  </si>
  <si>
    <t>n/p (2015. g.)</t>
  </si>
  <si>
    <t>0 (2015. g.)</t>
  </si>
  <si>
    <t xml:space="preserve">Interesna udruženja dionika u poljoprivredno – prehrambenom sektoru </t>
  </si>
  <si>
    <t>Broj novoosnovanih interesnih udruženja dionika koji posluju u poljoprivrednom i prehrambenom sektoru na godišnjoj razini (ciljna vrijednost kumulativno - 2)</t>
  </si>
  <si>
    <t>Broj novo - uspostavljenih skladišnih, prerađivačkih i distribucijskih centara za poljoprivredno – prehrambene proizvode na godišnjoj razini (ciljna vrijednost kumulativno - 2)</t>
  </si>
  <si>
    <t>2,83% (2015. g.)</t>
  </si>
  <si>
    <t>1 (2016. g.)</t>
  </si>
  <si>
    <t>52 (2014. g.)</t>
  </si>
  <si>
    <t>182 (2016. g.)</t>
  </si>
  <si>
    <t>1.004 (2014. g.)</t>
  </si>
  <si>
    <t>113 (2015. g.)</t>
  </si>
  <si>
    <t>9.190 (2014./2015. g.)</t>
  </si>
  <si>
    <t>28.356 (2015. g.)</t>
  </si>
  <si>
    <t>6.564 (2015. g.)</t>
  </si>
  <si>
    <t>Broj turističkih projekata financiranih od strane Međimurske županije, Fonda za razvoj turizma, EPFRR fonda na godišnjoj razini</t>
  </si>
  <si>
    <t>0 (2016. g.)</t>
  </si>
  <si>
    <t>8 (2015. g.)</t>
  </si>
  <si>
    <t>1.581 (šk. god. 2015./2016.)</t>
  </si>
  <si>
    <t>251  (šk. god. 2015./2016.)</t>
  </si>
  <si>
    <t>N/A (2015. g.)</t>
  </si>
  <si>
    <t>17 (2015. g.)</t>
  </si>
  <si>
    <t>2 (2013.-2016.)</t>
  </si>
  <si>
    <t>330 (2015. g.)</t>
  </si>
  <si>
    <t>365 (2015. g.)</t>
  </si>
  <si>
    <t>19,5% (2015. g.)</t>
  </si>
  <si>
    <t>12,6% (2015. g.)</t>
  </si>
  <si>
    <t>20% (2015. g.)</t>
  </si>
  <si>
    <t>500.000 (2015. g.)</t>
  </si>
  <si>
    <t>75% (2014.-2016. g.)</t>
  </si>
  <si>
    <t>37,7% (2014.-2016. g.)</t>
  </si>
  <si>
    <t>33% (2014.-2016. g.)</t>
  </si>
  <si>
    <t>4 (2016. g.)</t>
  </si>
  <si>
    <t>N/P (2015. g.)</t>
  </si>
  <si>
    <t>268 (2015. g.)</t>
  </si>
  <si>
    <t>5.217 (2015. g.)</t>
  </si>
  <si>
    <t>500 (2014. g.)</t>
  </si>
  <si>
    <t>16.250.000 (2014. g.)</t>
  </si>
  <si>
    <t>794 (2015. g.)</t>
  </si>
  <si>
    <t>64.616 (2015. g.)</t>
  </si>
  <si>
    <t>21.000 (2015. g.)</t>
  </si>
  <si>
    <t>7.685 (2015. g.)</t>
  </si>
  <si>
    <t>664 (2015. g.)</t>
  </si>
  <si>
    <t>860.287 (2015. g.)</t>
  </si>
  <si>
    <t>3 (2015. g.)</t>
  </si>
  <si>
    <t>Izrađen Plan upravljanja  zaštićenim dijelovima prirode i ekološkom mrežom na području Međimurske županije</t>
  </si>
  <si>
    <t>80 (2015. g.)</t>
  </si>
  <si>
    <t>49,9 (2015. g.)</t>
  </si>
  <si>
    <t>223 (2014. g.)</t>
  </si>
  <si>
    <t>Ulaganje u razvoj sustava integriranog javnog prijevoza</t>
  </si>
  <si>
    <t xml:space="preserve">Iznos ulaganja iz proračuna Međimurske županije </t>
  </si>
  <si>
    <t>99.750 (2015. g.)</t>
  </si>
  <si>
    <t>Broj punionica za potrebe razvoja cikloturizma, poticanja zdravog stila života</t>
  </si>
  <si>
    <t>19.901 (2015. g.)</t>
  </si>
  <si>
    <t>6 (2015. g.)</t>
  </si>
  <si>
    <t>1 (2015. g.)</t>
  </si>
  <si>
    <t>Međimurska županija</t>
  </si>
  <si>
    <t>Čakovec</t>
  </si>
  <si>
    <t>Međimurska priroda</t>
  </si>
  <si>
    <t>Vidikovac Mađerkin breg</t>
  </si>
  <si>
    <t xml:space="preserve">Općina Štrigova </t>
  </si>
  <si>
    <t>Izgradnja dvorane OŠ Goričan</t>
  </si>
  <si>
    <t>Općina Goričan i Međimurska županija</t>
  </si>
  <si>
    <t>Općina Goričan</t>
  </si>
  <si>
    <t>Općina Strahoninec i Međimurska županija</t>
  </si>
  <si>
    <t>Mursko središće i Sveti Martin na Muri</t>
  </si>
  <si>
    <t>Donja Dubrava</t>
  </si>
  <si>
    <t>TICM 3 - Obnova i opremanje treće zgrade inkubatora Tehnološko-inovacijskog centra Međimurje i Obnova i opremanje potkrovlja zgrade TICM1</t>
  </si>
  <si>
    <t>Županijska bolnica Čakovec</t>
  </si>
  <si>
    <t>Međimurske vode</t>
  </si>
  <si>
    <t>Izgradnja dvorane OŠ Strahoninec (II. faza)</t>
  </si>
  <si>
    <t>Izgradnja OŠ Vladimira Nazora Pribislavec (II. faza)</t>
  </si>
  <si>
    <t>Red. br. projekta</t>
  </si>
  <si>
    <t xml:space="preserve">Revitalizacija i obnova starog grada Zrinskih </t>
  </si>
  <si>
    <t>Izvori financiranja projekta (2017.-2020.)</t>
  </si>
  <si>
    <t>Projekt: Centar za posjetitelje Med dvemi vodami</t>
  </si>
  <si>
    <t>Strahoninec</t>
  </si>
  <si>
    <t>Pribislavec</t>
  </si>
  <si>
    <t>Sustav odvodnje i pročišćavanja otpadnih voda aglomeracije Mursko Središće</t>
  </si>
  <si>
    <t xml:space="preserve">Godišnji broj poljoprivredno – prehrambenih proizvoda uključenih u sustave kvalitete
(ZOI, ZOZP i ZTS) - kumulativno 3
</t>
  </si>
  <si>
    <t>Broj sklopljenih ugovora za provedbu projekata financiranih sredstvima iz OP Učinkoviti ljudski potencijali (kumulativno)</t>
  </si>
  <si>
    <t>APP: Izgradnja sportske dvorane sa 6 učionica OŠ Orehovica</t>
  </si>
  <si>
    <t>Broj izgrađenih i opremljenih školskih sportskih dvorana kojima će se osigurati nesmetano odvijanje nastave tjelesnog i zdravstvenog odgoja (kumulativ)</t>
  </si>
  <si>
    <t>Broj provedenih projekata ili projekata u provedbi prijavljenih u ime Lokalnog partnerstva za zapošljavanje Međimurske županije (kumulativno)</t>
  </si>
  <si>
    <t>Broj provedenih kampanja (višegodišnjih) za promicanje zdravih stilova života koje koordinira ZZJZ (kumulativ)</t>
  </si>
  <si>
    <t>Broj novih izvaninstitucionalnih usluga u MŽ (kumulativno)</t>
  </si>
  <si>
    <t>Broj međusektorskih programa, projekata i inicijativa razvijenih u partnerstvu organizacija civilnog društva i JL(R)S-ova (kumulativno)</t>
  </si>
  <si>
    <t>APP: Rekonstrukcija nasipa (Glavnog Murskog nasipa, Murskog nasipa,  Pušćine, Trnava, Sveti martin na Muri)</t>
  </si>
  <si>
    <t xml:space="preserve">APP: Izgradnja nasipa (Pretetinec i Hrašćan) </t>
  </si>
  <si>
    <t>APP:APP: Rekonstrukcija nasipa (Glavnog Murskog nasipa, Murskog nasipa,  Pušćine, Trnava, Sveti martin na Muri)</t>
  </si>
  <si>
    <t xml:space="preserve">APP:  Provedba projekata OIE i kogeneracije javnih zgrada (bolnica, škola, Dom za starije i nemoćne), privatnih kuća, višestambenih zgrada na području Međimurske županije </t>
  </si>
  <si>
    <t xml:space="preserve">APP: Provedba projekata energetske obnove javnih zgrada (bolnica, škole, Dom za starije i nemoćne), privatnih kuća, višestambene zgrade na području Međimurske županije </t>
  </si>
  <si>
    <t xml:space="preserve">APP: Izrada analiza i studija neiskorištenih energetskih potencijala </t>
  </si>
  <si>
    <t xml:space="preserve">APP:  Izgradnja nasipa (Pretetinec i Hrašćan) </t>
  </si>
  <si>
    <t>456.000 (2016. g.)</t>
  </si>
  <si>
    <t>APP: Druga ulaganja u opremanje, obnovu i izgradnju školskih objekata</t>
  </si>
  <si>
    <t>Broj objekata</t>
  </si>
  <si>
    <t>Smanjenje broja upućivanja u bolnice</t>
  </si>
  <si>
    <t>Broj zaklada</t>
  </si>
  <si>
    <t>Broj dokumenata</t>
  </si>
  <si>
    <t>APP: Izgradnja, rekonstrukcija  i modernizacija lokalnih i županijskih cesta</t>
  </si>
  <si>
    <t>Broj punionica</t>
  </si>
  <si>
    <t xml:space="preserve">Broj priključaka </t>
  </si>
  <si>
    <t xml:space="preserve">Modernizirane nerazvrstane ceste  </t>
  </si>
  <si>
    <r>
      <t xml:space="preserve">APP: </t>
    </r>
    <r>
      <rPr>
        <b/>
        <sz val="10"/>
        <rFont val="Calibri"/>
        <family val="2"/>
      </rPr>
      <t>Stipendije Obrtničke komore Međimurja dodijeljene za deficitarna zanimanja</t>
    </r>
  </si>
  <si>
    <r>
      <t xml:space="preserve">APP: </t>
    </r>
    <r>
      <rPr>
        <b/>
        <sz val="10"/>
        <rFont val="Calibri"/>
        <family val="2"/>
      </rPr>
      <t>Financijska podrška radu</t>
    </r>
    <r>
      <rPr>
        <sz val="10"/>
        <rFont val="Calibri"/>
        <family val="2"/>
      </rPr>
      <t xml:space="preserve"> Savjeta za zdravlje</t>
    </r>
  </si>
  <si>
    <r>
      <t xml:space="preserve">APP: </t>
    </r>
    <r>
      <rPr>
        <b/>
        <sz val="10"/>
        <rFont val="Calibri"/>
        <family val="2"/>
      </rPr>
      <t>Financijska podrška radu Sigurne kuće</t>
    </r>
  </si>
  <si>
    <r>
      <t>APP:</t>
    </r>
    <r>
      <rPr>
        <b/>
        <sz val="10"/>
        <rFont val="Calibri"/>
        <family val="2"/>
      </rPr>
      <t xml:space="preserve"> Financiranje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Pučke kuhinje u Čakovcu</t>
    </r>
  </si>
  <si>
    <r>
      <t xml:space="preserve">APP: </t>
    </r>
    <r>
      <rPr>
        <b/>
        <sz val="10"/>
        <rFont val="Calibri"/>
        <family val="2"/>
      </rPr>
      <t>Osnivanje Regionalne zaklade za razvoj lokalne zajednice i civilnog društva</t>
    </r>
  </si>
  <si>
    <r>
      <t xml:space="preserve">APP: </t>
    </r>
    <r>
      <rPr>
        <b/>
        <sz val="10"/>
        <rFont val="Calibri"/>
        <family val="2"/>
      </rPr>
      <t>Osnivanje Društvenog centra Čakovec</t>
    </r>
  </si>
  <si>
    <r>
      <t xml:space="preserve">APP: </t>
    </r>
    <r>
      <rPr>
        <b/>
        <sz val="10"/>
        <rFont val="Calibri"/>
        <family val="2"/>
      </rPr>
      <t>Funkcioniranje Volonterskog ureda Međimurja</t>
    </r>
  </si>
  <si>
    <t xml:space="preserve"> -</t>
  </si>
  <si>
    <t>APP: Izrada strateških i planskih dokumenata s ciljem promicanja ideje, kao i samog korištenja dostupnih energetskih potencijala iz obnovljivih izvora</t>
  </si>
  <si>
    <t>APP: Ulaganje u sustav prevencije štete od tuče (obrana od tuče)</t>
  </si>
  <si>
    <t xml:space="preserve">APP: Osiguravanje financijskih sredstava za dodjelu potpore za diversifikaciju i specijalizaciju turističke ponude </t>
  </si>
  <si>
    <t>APP: Implementacija projekta "Mlinarska drvena kuća" - opremanje Centra za posjetitelje</t>
  </si>
  <si>
    <t>APP: Implementacija projekta "Vidikovac -  Mađerkin breg" - izgradnja vidikovca s dodanom turističkom i ambijentalnom te tradicijskom vrijednošću</t>
  </si>
  <si>
    <t>APP: Implementacija projekta "Svjetski centar Pušipela" - uspostava Centra izvrsnosti somelierstva i Centra za posjetitelje Međimurske vinske ceste</t>
  </si>
  <si>
    <r>
      <t xml:space="preserve">APP: </t>
    </r>
    <r>
      <rPr>
        <sz val="10"/>
        <rFont val="Calibri"/>
        <family val="2"/>
      </rPr>
      <t>Izgradnja Centra za odgoj i obrazovanje Čakovec</t>
    </r>
  </si>
  <si>
    <t xml:space="preserve">APP: Finaciranje rada Regionalnog centra gospodarenja otpadom Piškornica </t>
  </si>
  <si>
    <t>Križovec, Frkanovec, Sveti Marin na Muri</t>
  </si>
  <si>
    <t xml:space="preserve"> Med dvemi vodami</t>
  </si>
  <si>
    <t xml:space="preserve">Razvojno-edukacijski centar za metalsku industriju - Metalska jezgra
</t>
  </si>
  <si>
    <t xml:space="preserve">Rekonstrukcija i opremanje Županijske bolnice Čakovec za potrebe dnevne bolnice i dnevne kirurgije </t>
  </si>
  <si>
    <t>Aglomeracija Donja Dubrava (sustav odvodnje – kanalizacija)</t>
  </si>
  <si>
    <t>APP: Modernizacija javne rasvjete + provedba Projekta Dynamic Light</t>
  </si>
  <si>
    <t>APP: Provedba transnacionalnih projekata usmjerenih na energetsku učinkovitost</t>
  </si>
  <si>
    <t>Izgrađen studentski dom u sklopu Međimurskog veleučilišta u Čakovcu (kumulativ)</t>
  </si>
  <si>
    <t>Izrađena Strategija razvoja kulture u MŽ (kumulativ)</t>
  </si>
  <si>
    <t xml:space="preserve">APP: Rekonstrukcija i opremanje Županijske bolnice Čakovec za potrebe dnevne bolnice i dnevne kirurgije, uključujući odjel psihijatrije i fizikalne medicine (unutar Pav. III) </t>
  </si>
  <si>
    <t>APP: Unaprjeđenje primarne zdravstvena zaštite u  Domu  zdravlja Čakovec (projekt u provedbi od 2017.)</t>
  </si>
  <si>
    <t>APP: Rekonstrukcija i opremanje Županijske bolnice Čakovec za potrebe dnevne bolnice i dnevne kirurgije, uključujući odjel psihijatrije i fizikalne medicine (unutar Pav. III)  (projekt u provedbi od 2017.)</t>
  </si>
  <si>
    <t>APP: TICM 3 - Obnova i opremanje treće zgrade inkubatora Tehnološko-inovacijskog centra Međimurje i Obnova i opremanje potkrovlja zgrade TICM1 (projekt u provedbi od 2017.)</t>
  </si>
  <si>
    <t xml:space="preserve">APP: TICM 3 - Obnova i opremanje treće zgrade inkubatora Tehnološko-inovacijskog centra Međimurje i Obnova i opremanje potkrovlja zgrade TICM1 </t>
  </si>
  <si>
    <t xml:space="preserve">Projekt "Mlinarska drvena kuća" - Centar za posjetitelje </t>
  </si>
  <si>
    <t xml:space="preserve">APP: Pružanje podrške zaštiti lovne divljači te očuvanju prirodne ravnoteže i okoliša </t>
  </si>
  <si>
    <t>APP: Informiranje i edukacije o dostupnim instrumentima za sufinanciranje ulaganja i podrška u pripremi projektnih prijedloga poduzetnika za sufinanciranje projekata ulaganja iz EU i nacionalnih programa</t>
  </si>
  <si>
    <t>APP: Rekonstrukacija i opremanje za potrebe osnivanja Razvojno-edukacijskog centra za metalsku industriju - Metalska jezgra Čakovec (projekt u fazi ocjenjivanja)</t>
  </si>
  <si>
    <t>APP: Implementacija projekta "AgriShort" u svrhu uspostavljanja odgovarajućih modela kratkih opskrbnih lanaca (projekt u provedbi od 2017.)</t>
  </si>
  <si>
    <t>APP: Implementacija projekta TRUE s ciljem istraživanja i unaprjeđenja proizvodnih procesa mahunarki ili leguminoza (u provedbi od 2017.)</t>
  </si>
  <si>
    <t>APP: Implementacija projekta "Attractour" - uspostava prepoznatljive turističke destinacije Međimurje /Letenye stvaranjem novih turističkih proizvoda i obnovom dva objekta kulturnog nasljeđa (u provedbi od 2017.)</t>
  </si>
  <si>
    <t>APP: Implementacija projekta "Med dvemi vodami" - ulaganje u posjetiteljsku infrastrukturu: rekonstrukciju i opremanje Centra za posjetitelje Med dvemi vodami u Križovcu, rekonstrukciju i opremanje edukacijsko-istraživačkog centra Matulov grunt u Frkanovcu te uređenje Eko-turističke poučne pješačko i biciklističke staze „Svetomartinska Mura“ (u fazi ocjenjivanja)</t>
  </si>
  <si>
    <t>APP: Izgradnja Studentskog doma MEV (u provedbi od 2016.)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</si>
</sst>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Da&quot;;&quot;Da&quot;;&quot;Ne&quot;"/>
    <numFmt numFmtId="169" formatCode="&quot;Uključeno&quot;;&quot;Uključeno&quot;;&quot;Isključeno&quot;"/>
    <numFmt numFmtId="170" formatCode="[$¥€-2]\ #,##0.00_);[Red]\([$€-2]\ #,##0.00\)"/>
    <numFmt numFmtId="171" formatCode="[$-41A]d\.\ mmmm\ yyyy\."/>
    <numFmt numFmtId="172" formatCode="#,##0.00\ &quot;kn&quot;"/>
    <numFmt numFmtId="173" formatCode="#,##0\ &quot;kn&quot;"/>
    <numFmt numFmtId="174" formatCode="#,##0.00\ _k_n"/>
    <numFmt numFmtId="175" formatCode="0.0%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.5"/>
      <name val="Arial"/>
      <family val="2"/>
    </font>
    <font>
      <sz val="12"/>
      <name val="Arial"/>
      <family val="2"/>
    </font>
    <font>
      <sz val="11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i/>
      <sz val="10"/>
      <color indexed="10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i/>
      <sz val="10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50"/>
      <color indexed="26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i/>
      <sz val="10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51"/>
        <bgColor indexed="64"/>
      </patternFill>
    </fill>
  </fills>
  <borders count="1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/>
      <right style="thin"/>
      <top/>
      <bottom style="thin"/>
    </border>
    <border>
      <left style="medium"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/>
      <right style="medium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/>
      <right style="thin"/>
      <top style="thin"/>
      <bottom style="thin"/>
    </border>
    <border>
      <left style="medium"/>
      <right style="medium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/>
      <top style="thin"/>
      <bottom style="thin"/>
    </border>
    <border>
      <left style="medium">
        <color indexed="8"/>
      </left>
      <right/>
      <top/>
      <bottom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/>
      <right style="medium"/>
      <top style="medium"/>
      <bottom style="medium">
        <color indexed="8"/>
      </bottom>
    </border>
    <border>
      <left/>
      <right style="medium"/>
      <top style="medium">
        <color indexed="8"/>
      </top>
      <bottom style="medium"/>
    </border>
    <border>
      <left/>
      <right/>
      <top/>
      <bottom style="medium"/>
    </border>
    <border>
      <left style="thin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/>
      <bottom/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/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>
        <color indexed="8"/>
      </right>
      <top style="medium">
        <color indexed="8"/>
      </top>
      <bottom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/>
      <right/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thin"/>
    </border>
    <border>
      <left style="medium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thin"/>
      <right style="thin"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/>
      <bottom style="medium"/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/>
      <bottom style="medium"/>
    </border>
    <border>
      <left style="medium">
        <color indexed="8"/>
      </left>
      <right style="medium"/>
      <top/>
      <bottom style="medium"/>
    </border>
    <border>
      <left style="medium"/>
      <right style="medium">
        <color indexed="8"/>
      </right>
      <top/>
      <bottom style="medium">
        <color indexed="8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0" fillId="19" borderId="1" applyNumberFormat="0" applyFont="0" applyAlignment="0" applyProtection="0"/>
    <xf numFmtId="0" fontId="47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8" fillId="27" borderId="2" applyNumberFormat="0" applyAlignment="0" applyProtection="0"/>
    <xf numFmtId="0" fontId="49" fillId="27" borderId="3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57" fillId="30" borderId="8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8">
    <xf numFmtId="0" fontId="0" fillId="0" borderId="0" xfId="0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3" fontId="8" fillId="0" borderId="15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/>
    </xf>
    <xf numFmtId="0" fontId="8" fillId="0" borderId="16" xfId="0" applyNumberFormat="1" applyFont="1" applyFill="1" applyBorder="1" applyAlignment="1">
      <alignment horizontal="left" vertical="center" wrapText="1"/>
    </xf>
    <xf numFmtId="3" fontId="8" fillId="0" borderId="17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1" xfId="0" applyFont="1" applyBorder="1" applyAlignment="1">
      <alignment/>
    </xf>
    <xf numFmtId="3" fontId="8" fillId="0" borderId="22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/>
    </xf>
    <xf numFmtId="0" fontId="4" fillId="32" borderId="0" xfId="0" applyFont="1" applyFill="1" applyAlignment="1">
      <alignment/>
    </xf>
    <xf numFmtId="0" fontId="4" fillId="0" borderId="0" xfId="0" applyFont="1" applyAlignment="1">
      <alignment/>
    </xf>
    <xf numFmtId="0" fontId="8" fillId="0" borderId="21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24" xfId="0" applyNumberFormat="1" applyFont="1" applyFill="1" applyBorder="1" applyAlignment="1">
      <alignment horizontal="left" vertical="center" wrapText="1"/>
    </xf>
    <xf numFmtId="0" fontId="8" fillId="0" borderId="18" xfId="0" applyNumberFormat="1" applyFont="1" applyFill="1" applyBorder="1" applyAlignment="1">
      <alignment horizontal="left" vertical="center" wrapText="1"/>
    </xf>
    <xf numFmtId="0" fontId="8" fillId="0" borderId="11" xfId="0" applyNumberFormat="1" applyFont="1" applyFill="1" applyBorder="1" applyAlignment="1">
      <alignment horizontal="left" vertical="center" wrapText="1"/>
    </xf>
    <xf numFmtId="0" fontId="8" fillId="0" borderId="25" xfId="0" applyNumberFormat="1" applyFont="1" applyFill="1" applyBorder="1" applyAlignment="1">
      <alignment horizontal="left" vertical="center" wrapText="1"/>
    </xf>
    <xf numFmtId="0" fontId="8" fillId="0" borderId="26" xfId="0" applyNumberFormat="1" applyFont="1" applyFill="1" applyBorder="1" applyAlignment="1">
      <alignment horizontal="left" vertical="center" wrapText="1"/>
    </xf>
    <xf numFmtId="0" fontId="8" fillId="0" borderId="12" xfId="0" applyNumberFormat="1" applyFont="1" applyFill="1" applyBorder="1" applyAlignment="1">
      <alignment horizontal="left" vertical="center" wrapText="1"/>
    </xf>
    <xf numFmtId="0" fontId="8" fillId="0" borderId="27" xfId="0" applyNumberFormat="1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8" fillId="0" borderId="29" xfId="0" applyNumberFormat="1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8" fillId="0" borderId="23" xfId="0" applyNumberFormat="1" applyFont="1" applyFill="1" applyBorder="1" applyAlignment="1">
      <alignment horizontal="left" vertical="center" wrapText="1"/>
    </xf>
    <xf numFmtId="0" fontId="8" fillId="0" borderId="15" xfId="0" applyNumberFormat="1" applyFont="1" applyFill="1" applyBorder="1" applyAlignment="1">
      <alignment horizontal="left" vertical="center" wrapText="1"/>
    </xf>
    <xf numFmtId="0" fontId="8" fillId="0" borderId="30" xfId="0" applyNumberFormat="1" applyFont="1" applyFill="1" applyBorder="1" applyAlignment="1">
      <alignment horizontal="left" vertical="center" wrapText="1"/>
    </xf>
    <xf numFmtId="0" fontId="8" fillId="0" borderId="31" xfId="0" applyNumberFormat="1" applyFont="1" applyFill="1" applyBorder="1" applyAlignment="1">
      <alignment horizontal="left" vertical="center" wrapText="1"/>
    </xf>
    <xf numFmtId="0" fontId="8" fillId="0" borderId="14" xfId="0" applyNumberFormat="1" applyFont="1" applyFill="1" applyBorder="1" applyAlignment="1">
      <alignment horizontal="left" vertical="center" wrapText="1"/>
    </xf>
    <xf numFmtId="0" fontId="8" fillId="0" borderId="28" xfId="0" applyNumberFormat="1" applyFont="1" applyFill="1" applyBorder="1" applyAlignment="1">
      <alignment horizontal="left" vertical="center" wrapText="1"/>
    </xf>
    <xf numFmtId="0" fontId="8" fillId="0" borderId="32" xfId="0" applyNumberFormat="1" applyFont="1" applyFill="1" applyBorder="1" applyAlignment="1">
      <alignment horizontal="left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30" xfId="0" applyNumberFormat="1" applyFont="1" applyFill="1" applyBorder="1" applyAlignment="1">
      <alignment horizontal="center" vertical="center" wrapText="1"/>
    </xf>
    <xf numFmtId="0" fontId="8" fillId="0" borderId="18" xfId="0" applyFont="1" applyBorder="1" applyAlignment="1">
      <alignment/>
    </xf>
    <xf numFmtId="0" fontId="3" fillId="0" borderId="26" xfId="0" applyFont="1" applyFill="1" applyBorder="1" applyAlignment="1">
      <alignment horizontal="center" vertical="center" wrapText="1"/>
    </xf>
    <xf numFmtId="3" fontId="8" fillId="0" borderId="26" xfId="0" applyNumberFormat="1" applyFont="1" applyBorder="1" applyAlignment="1">
      <alignment horizontal="center" vertical="center"/>
    </xf>
    <xf numFmtId="3" fontId="8" fillId="0" borderId="33" xfId="0" applyNumberFormat="1" applyFont="1" applyBorder="1" applyAlignment="1">
      <alignment horizontal="center" vertical="center"/>
    </xf>
    <xf numFmtId="3" fontId="8" fillId="0" borderId="23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/>
    </xf>
    <xf numFmtId="0" fontId="8" fillId="0" borderId="34" xfId="0" applyNumberFormat="1" applyFont="1" applyFill="1" applyBorder="1" applyAlignment="1">
      <alignment horizontal="left" vertical="center" wrapText="1"/>
    </xf>
    <xf numFmtId="0" fontId="8" fillId="0" borderId="35" xfId="0" applyNumberFormat="1" applyFont="1" applyFill="1" applyBorder="1" applyAlignment="1">
      <alignment horizontal="left" vertical="center" wrapText="1"/>
    </xf>
    <xf numFmtId="0" fontId="8" fillId="0" borderId="36" xfId="0" applyNumberFormat="1" applyFont="1" applyFill="1" applyBorder="1" applyAlignment="1">
      <alignment horizontal="left" vertical="center" wrapText="1"/>
    </xf>
    <xf numFmtId="0" fontId="8" fillId="0" borderId="37" xfId="0" applyNumberFormat="1" applyFont="1" applyFill="1" applyBorder="1" applyAlignment="1">
      <alignment horizontal="left" vertical="center" wrapText="1"/>
    </xf>
    <xf numFmtId="0" fontId="8" fillId="0" borderId="38" xfId="0" applyNumberFormat="1" applyFont="1" applyFill="1" applyBorder="1" applyAlignment="1">
      <alignment horizontal="left" vertical="center" wrapText="1"/>
    </xf>
    <xf numFmtId="0" fontId="8" fillId="0" borderId="39" xfId="0" applyNumberFormat="1" applyFont="1" applyFill="1" applyBorder="1" applyAlignment="1">
      <alignment horizontal="left" vertical="center" wrapText="1"/>
    </xf>
    <xf numFmtId="0" fontId="8" fillId="0" borderId="39" xfId="0" applyFont="1" applyBorder="1" applyAlignment="1">
      <alignment/>
    </xf>
    <xf numFmtId="3" fontId="8" fillId="0" borderId="26" xfId="0" applyNumberFormat="1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Font="1" applyAlignment="1">
      <alignment/>
    </xf>
    <xf numFmtId="0" fontId="8" fillId="33" borderId="34" xfId="0" applyNumberFormat="1" applyFont="1" applyFill="1" applyBorder="1" applyAlignment="1">
      <alignment horizontal="left" vertical="center" wrapText="1"/>
    </xf>
    <xf numFmtId="0" fontId="6" fillId="34" borderId="30" xfId="0" applyFont="1" applyFill="1" applyBorder="1" applyAlignment="1">
      <alignment horizontal="center" vertical="center" wrapText="1"/>
    </xf>
    <xf numFmtId="3" fontId="8" fillId="34" borderId="24" xfId="0" applyNumberFormat="1" applyFont="1" applyFill="1" applyBorder="1" applyAlignment="1">
      <alignment horizontal="center" vertical="center"/>
    </xf>
    <xf numFmtId="3" fontId="8" fillId="34" borderId="27" xfId="0" applyNumberFormat="1" applyFont="1" applyFill="1" applyBorder="1" applyAlignment="1">
      <alignment horizontal="center" vertical="center"/>
    </xf>
    <xf numFmtId="3" fontId="8" fillId="34" borderId="28" xfId="0" applyNumberFormat="1" applyFont="1" applyFill="1" applyBorder="1" applyAlignment="1">
      <alignment horizontal="center" vertical="center"/>
    </xf>
    <xf numFmtId="3" fontId="8" fillId="34" borderId="30" xfId="0" applyNumberFormat="1" applyFont="1" applyFill="1" applyBorder="1" applyAlignment="1">
      <alignment horizontal="center" vertical="center"/>
    </xf>
    <xf numFmtId="3" fontId="8" fillId="34" borderId="25" xfId="0" applyNumberFormat="1" applyFont="1" applyFill="1" applyBorder="1" applyAlignment="1">
      <alignment horizontal="center" vertical="center"/>
    </xf>
    <xf numFmtId="0" fontId="6" fillId="13" borderId="23" xfId="0" applyFont="1" applyFill="1" applyBorder="1" applyAlignment="1">
      <alignment horizontal="center" vertical="center" wrapText="1"/>
    </xf>
    <xf numFmtId="0" fontId="6" fillId="13" borderId="15" xfId="0" applyFont="1" applyFill="1" applyBorder="1" applyAlignment="1">
      <alignment horizontal="center" vertical="center" wrapText="1"/>
    </xf>
    <xf numFmtId="3" fontId="7" fillId="34" borderId="40" xfId="0" applyNumberFormat="1" applyFont="1" applyFill="1" applyBorder="1" applyAlignment="1">
      <alignment horizontal="right" vertical="center"/>
    </xf>
    <xf numFmtId="0" fontId="5" fillId="34" borderId="41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0" fontId="5" fillId="34" borderId="42" xfId="0" applyFont="1" applyFill="1" applyBorder="1" applyAlignment="1">
      <alignment horizontal="center" vertical="center"/>
    </xf>
    <xf numFmtId="3" fontId="7" fillId="34" borderId="41" xfId="0" applyNumberFormat="1" applyFont="1" applyFill="1" applyBorder="1" applyAlignment="1">
      <alignment horizontal="right" vertical="center"/>
    </xf>
    <xf numFmtId="3" fontId="7" fillId="34" borderId="32" xfId="0" applyNumberFormat="1" applyFont="1" applyFill="1" applyBorder="1" applyAlignment="1">
      <alignment horizontal="right" vertical="center"/>
    </xf>
    <xf numFmtId="3" fontId="7" fillId="34" borderId="43" xfId="0" applyNumberFormat="1" applyFont="1" applyFill="1" applyBorder="1" applyAlignment="1">
      <alignment horizontal="right" vertical="center"/>
    </xf>
    <xf numFmtId="0" fontId="0" fillId="0" borderId="44" xfId="0" applyNumberFormat="1" applyFont="1" applyFill="1" applyBorder="1" applyAlignment="1">
      <alignment horizontal="left" vertical="center" wrapText="1"/>
    </xf>
    <xf numFmtId="0" fontId="0" fillId="0" borderId="21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3" fontId="0" fillId="35" borderId="24" xfId="0" applyNumberFormat="1" applyFont="1" applyFill="1" applyBorder="1" applyAlignment="1">
      <alignment horizontal="right" vertical="center"/>
    </xf>
    <xf numFmtId="0" fontId="0" fillId="0" borderId="45" xfId="0" applyNumberFormat="1" applyFont="1" applyFill="1" applyBorder="1" applyAlignment="1">
      <alignment horizontal="left" vertical="center" wrapText="1"/>
    </xf>
    <xf numFmtId="0" fontId="0" fillId="0" borderId="18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3" fontId="0" fillId="35" borderId="25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13" xfId="0" applyNumberFormat="1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right" vertical="center" wrapText="1"/>
    </xf>
    <xf numFmtId="0" fontId="14" fillId="0" borderId="12" xfId="0" applyFont="1" applyFill="1" applyBorder="1" applyAlignment="1">
      <alignment horizontal="right" vertical="center" wrapText="1"/>
    </xf>
    <xf numFmtId="3" fontId="0" fillId="35" borderId="27" xfId="0" applyNumberFormat="1" applyFont="1" applyFill="1" applyBorder="1" applyAlignment="1">
      <alignment horizontal="right" vertical="center"/>
    </xf>
    <xf numFmtId="3" fontId="0" fillId="0" borderId="26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0" fontId="0" fillId="0" borderId="46" xfId="0" applyNumberFormat="1" applyFont="1" applyFill="1" applyBorder="1" applyAlignment="1">
      <alignment horizontal="left" vertical="center" wrapText="1"/>
    </xf>
    <xf numFmtId="0" fontId="0" fillId="35" borderId="13" xfId="0" applyNumberFormat="1" applyFont="1" applyFill="1" applyBorder="1" applyAlignment="1">
      <alignment horizontal="left" vertical="center" wrapText="1"/>
    </xf>
    <xf numFmtId="0" fontId="0" fillId="35" borderId="13" xfId="0" applyNumberFormat="1" applyFont="1" applyFill="1" applyBorder="1" applyAlignment="1">
      <alignment horizontal="center" vertical="center" wrapText="1"/>
    </xf>
    <xf numFmtId="3" fontId="0" fillId="35" borderId="26" xfId="0" applyNumberFormat="1" applyFont="1" applyFill="1" applyBorder="1" applyAlignment="1">
      <alignment horizontal="right" vertical="center"/>
    </xf>
    <xf numFmtId="3" fontId="0" fillId="35" borderId="47" xfId="0" applyNumberFormat="1" applyFont="1" applyFill="1" applyBorder="1" applyAlignment="1">
      <alignment horizontal="right" vertical="center"/>
    </xf>
    <xf numFmtId="3" fontId="0" fillId="35" borderId="34" xfId="0" applyNumberFormat="1" applyFont="1" applyFill="1" applyBorder="1" applyAlignment="1">
      <alignment horizontal="right" vertical="center"/>
    </xf>
    <xf numFmtId="3" fontId="0" fillId="0" borderId="21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0" fontId="0" fillId="35" borderId="48" xfId="0" applyNumberFormat="1" applyFont="1" applyFill="1" applyBorder="1" applyAlignment="1">
      <alignment horizontal="left" vertical="center" wrapText="1"/>
    </xf>
    <xf numFmtId="0" fontId="0" fillId="35" borderId="48" xfId="0" applyNumberFormat="1" applyFont="1" applyFill="1" applyBorder="1" applyAlignment="1">
      <alignment horizontal="center" vertical="center" wrapText="1"/>
    </xf>
    <xf numFmtId="3" fontId="0" fillId="35" borderId="33" xfId="0" applyNumberFormat="1" applyFont="1" applyFill="1" applyBorder="1" applyAlignment="1">
      <alignment horizontal="right" vertical="center"/>
    </xf>
    <xf numFmtId="3" fontId="0" fillId="35" borderId="49" xfId="0" applyNumberFormat="1" applyFont="1" applyFill="1" applyBorder="1" applyAlignment="1">
      <alignment horizontal="right" vertical="center"/>
    </xf>
    <xf numFmtId="3" fontId="0" fillId="35" borderId="50" xfId="0" applyNumberFormat="1" applyFont="1" applyFill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3" fontId="0" fillId="35" borderId="28" xfId="0" applyNumberFormat="1" applyFont="1" applyFill="1" applyBorder="1" applyAlignment="1">
      <alignment horizontal="right" vertical="center"/>
    </xf>
    <xf numFmtId="3" fontId="0" fillId="0" borderId="33" xfId="0" applyNumberFormat="1" applyFont="1" applyBorder="1" applyAlignment="1">
      <alignment horizontal="right" vertical="center"/>
    </xf>
    <xf numFmtId="3" fontId="0" fillId="0" borderId="18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3" fontId="0" fillId="35" borderId="23" xfId="0" applyNumberFormat="1" applyFont="1" applyFill="1" applyBorder="1" applyAlignment="1">
      <alignment horizontal="right" vertical="center"/>
    </xf>
    <xf numFmtId="3" fontId="0" fillId="35" borderId="20" xfId="0" applyNumberFormat="1" applyFont="1" applyFill="1" applyBorder="1" applyAlignment="1">
      <alignment horizontal="right" vertical="center"/>
    </xf>
    <xf numFmtId="3" fontId="0" fillId="35" borderId="37" xfId="0" applyNumberFormat="1" applyFont="1" applyFill="1" applyBorder="1" applyAlignment="1">
      <alignment horizontal="right" vertical="center"/>
    </xf>
    <xf numFmtId="0" fontId="0" fillId="35" borderId="51" xfId="0" applyNumberFormat="1" applyFont="1" applyFill="1" applyBorder="1" applyAlignment="1">
      <alignment horizontal="left" vertical="center" wrapText="1"/>
    </xf>
    <xf numFmtId="0" fontId="0" fillId="35" borderId="51" xfId="0" applyNumberFormat="1" applyFont="1" applyFill="1" applyBorder="1" applyAlignment="1">
      <alignment horizontal="center" vertical="center" wrapText="1"/>
    </xf>
    <xf numFmtId="3" fontId="0" fillId="0" borderId="31" xfId="0" applyNumberFormat="1" applyFont="1" applyBorder="1" applyAlignment="1">
      <alignment horizontal="right" vertical="center"/>
    </xf>
    <xf numFmtId="3" fontId="0" fillId="0" borderId="52" xfId="0" applyNumberFormat="1" applyFont="1" applyBorder="1" applyAlignment="1">
      <alignment horizontal="right" vertical="center"/>
    </xf>
    <xf numFmtId="3" fontId="0" fillId="35" borderId="53" xfId="0" applyNumberFormat="1" applyFont="1" applyFill="1" applyBorder="1" applyAlignment="1">
      <alignment horizontal="right" vertical="center"/>
    </xf>
    <xf numFmtId="3" fontId="0" fillId="0" borderId="54" xfId="0" applyNumberFormat="1" applyFont="1" applyBorder="1" applyAlignment="1">
      <alignment horizontal="right" vertical="center"/>
    </xf>
    <xf numFmtId="3" fontId="0" fillId="0" borderId="55" xfId="0" applyNumberFormat="1" applyFont="1" applyBorder="1" applyAlignment="1">
      <alignment horizontal="right" vertical="center"/>
    </xf>
    <xf numFmtId="3" fontId="0" fillId="35" borderId="56" xfId="0" applyNumberFormat="1" applyFont="1" applyFill="1" applyBorder="1" applyAlignment="1">
      <alignment horizontal="right" vertical="center"/>
    </xf>
    <xf numFmtId="0" fontId="0" fillId="0" borderId="26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3" fontId="0" fillId="35" borderId="23" xfId="0" applyNumberFormat="1" applyFont="1" applyFill="1" applyBorder="1" applyAlignment="1">
      <alignment horizontal="right"/>
    </xf>
    <xf numFmtId="3" fontId="0" fillId="35" borderId="20" xfId="0" applyNumberFormat="1" applyFont="1" applyFill="1" applyBorder="1" applyAlignment="1">
      <alignment horizontal="right"/>
    </xf>
    <xf numFmtId="3" fontId="0" fillId="35" borderId="37" xfId="0" applyNumberFormat="1" applyFont="1" applyFill="1" applyBorder="1" applyAlignment="1">
      <alignment horizontal="right"/>
    </xf>
    <xf numFmtId="0" fontId="0" fillId="35" borderId="26" xfId="0" applyFont="1" applyFill="1" applyBorder="1" applyAlignment="1">
      <alignment horizontal="right"/>
    </xf>
    <xf numFmtId="0" fontId="0" fillId="35" borderId="47" xfId="0" applyFont="1" applyFill="1" applyBorder="1" applyAlignment="1">
      <alignment horizontal="right"/>
    </xf>
    <xf numFmtId="0" fontId="0" fillId="35" borderId="34" xfId="0" applyFont="1" applyFill="1" applyBorder="1" applyAlignment="1">
      <alignment horizontal="right"/>
    </xf>
    <xf numFmtId="0" fontId="0" fillId="35" borderId="23" xfId="0" applyFont="1" applyFill="1" applyBorder="1" applyAlignment="1">
      <alignment horizontal="right"/>
    </xf>
    <xf numFmtId="0" fontId="0" fillId="35" borderId="20" xfId="0" applyFont="1" applyFill="1" applyBorder="1" applyAlignment="1">
      <alignment horizontal="right"/>
    </xf>
    <xf numFmtId="0" fontId="0" fillId="35" borderId="37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left" vertical="center"/>
    </xf>
    <xf numFmtId="0" fontId="0" fillId="0" borderId="16" xfId="0" applyNumberFormat="1" applyFont="1" applyFill="1" applyBorder="1" applyAlignment="1">
      <alignment horizontal="left" vertical="center" wrapText="1"/>
    </xf>
    <xf numFmtId="0" fontId="6" fillId="36" borderId="30" xfId="0" applyFont="1" applyFill="1" applyBorder="1" applyAlignment="1">
      <alignment horizontal="center" vertical="center" wrapText="1"/>
    </xf>
    <xf numFmtId="0" fontId="0" fillId="37" borderId="57" xfId="0" applyNumberFormat="1" applyFont="1" applyFill="1" applyBorder="1" applyAlignment="1">
      <alignment horizontal="left" vertical="center" wrapText="1"/>
    </xf>
    <xf numFmtId="0" fontId="0" fillId="37" borderId="57" xfId="0" applyNumberFormat="1" applyFont="1" applyFill="1" applyBorder="1" applyAlignment="1">
      <alignment horizontal="center" vertical="center" wrapText="1"/>
    </xf>
    <xf numFmtId="3" fontId="4" fillId="37" borderId="41" xfId="0" applyNumberFormat="1" applyFont="1" applyFill="1" applyBorder="1" applyAlignment="1">
      <alignment horizontal="right" vertical="center" wrapText="1"/>
    </xf>
    <xf numFmtId="3" fontId="4" fillId="37" borderId="32" xfId="0" applyNumberFormat="1" applyFont="1" applyFill="1" applyBorder="1" applyAlignment="1">
      <alignment horizontal="right" vertical="center" wrapText="1"/>
    </xf>
    <xf numFmtId="3" fontId="4" fillId="37" borderId="40" xfId="0" applyNumberFormat="1" applyFont="1" applyFill="1" applyBorder="1" applyAlignment="1">
      <alignment horizontal="right" vertical="center" wrapText="1"/>
    </xf>
    <xf numFmtId="3" fontId="4" fillId="37" borderId="42" xfId="0" applyNumberFormat="1" applyFont="1" applyFill="1" applyBorder="1" applyAlignment="1">
      <alignment horizontal="right" vertical="center" wrapText="1"/>
    </xf>
    <xf numFmtId="0" fontId="18" fillId="33" borderId="0" xfId="0" applyFont="1" applyFill="1" applyAlignment="1">
      <alignment/>
    </xf>
    <xf numFmtId="0" fontId="62" fillId="33" borderId="0" xfId="0" applyFont="1" applyFill="1" applyAlignment="1">
      <alignment/>
    </xf>
    <xf numFmtId="0" fontId="15" fillId="13" borderId="33" xfId="0" applyFont="1" applyFill="1" applyBorder="1" applyAlignment="1">
      <alignment horizontal="center" vertical="center" wrapText="1"/>
    </xf>
    <xf numFmtId="0" fontId="15" fillId="13" borderId="14" xfId="0" applyFont="1" applyFill="1" applyBorder="1" applyAlignment="1">
      <alignment horizontal="center" vertical="center" wrapText="1"/>
    </xf>
    <xf numFmtId="0" fontId="15" fillId="33" borderId="0" xfId="0" applyFont="1" applyFill="1" applyAlignment="1">
      <alignment/>
    </xf>
    <xf numFmtId="0" fontId="15" fillId="9" borderId="12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left" vertical="center" wrapText="1"/>
    </xf>
    <xf numFmtId="172" fontId="18" fillId="33" borderId="12" xfId="0" applyNumberFormat="1" applyFont="1" applyFill="1" applyBorder="1" applyAlignment="1">
      <alignment horizontal="right" vertical="center"/>
    </xf>
    <xf numFmtId="172" fontId="18" fillId="34" borderId="12" xfId="0" applyNumberFormat="1" applyFont="1" applyFill="1" applyBorder="1" applyAlignment="1">
      <alignment horizontal="right" vertical="center"/>
    </xf>
    <xf numFmtId="0" fontId="36" fillId="38" borderId="12" xfId="0" applyFont="1" applyFill="1" applyBorder="1" applyAlignment="1">
      <alignment horizontal="left" vertical="center" wrapText="1"/>
    </xf>
    <xf numFmtId="0" fontId="18" fillId="38" borderId="12" xfId="0" applyFont="1" applyFill="1" applyBorder="1" applyAlignment="1">
      <alignment horizontal="left" vertical="center" wrapText="1"/>
    </xf>
    <xf numFmtId="0" fontId="36" fillId="7" borderId="12" xfId="0" applyFont="1" applyFill="1" applyBorder="1" applyAlignment="1">
      <alignment horizontal="left" vertical="center" wrapText="1"/>
    </xf>
    <xf numFmtId="0" fontId="18" fillId="7" borderId="12" xfId="0" applyFont="1" applyFill="1" applyBorder="1" applyAlignment="1">
      <alignment horizontal="left" vertical="center" wrapText="1"/>
    </xf>
    <xf numFmtId="0" fontId="18" fillId="38" borderId="14" xfId="0" applyFont="1" applyFill="1" applyBorder="1" applyAlignment="1">
      <alignment horizontal="left" vertical="center" wrapText="1"/>
    </xf>
    <xf numFmtId="172" fontId="18" fillId="33" borderId="14" xfId="0" applyNumberFormat="1" applyFont="1" applyFill="1" applyBorder="1" applyAlignment="1">
      <alignment horizontal="right" vertical="center"/>
    </xf>
    <xf numFmtId="0" fontId="37" fillId="33" borderId="21" xfId="0" applyFont="1" applyFill="1" applyBorder="1" applyAlignment="1">
      <alignment horizontal="right" vertical="center"/>
    </xf>
    <xf numFmtId="0" fontId="37" fillId="33" borderId="23" xfId="0" applyFont="1" applyFill="1" applyBorder="1" applyAlignment="1">
      <alignment horizontal="right" vertical="center"/>
    </xf>
    <xf numFmtId="172" fontId="15" fillId="33" borderId="10" xfId="0" applyNumberFormat="1" applyFont="1" applyFill="1" applyBorder="1" applyAlignment="1">
      <alignment horizontal="right" vertical="center"/>
    </xf>
    <xf numFmtId="172" fontId="15" fillId="34" borderId="24" xfId="0" applyNumberFormat="1" applyFont="1" applyFill="1" applyBorder="1" applyAlignment="1">
      <alignment horizontal="right" vertical="center"/>
    </xf>
    <xf numFmtId="172" fontId="15" fillId="38" borderId="12" xfId="0" applyNumberFormat="1" applyFont="1" applyFill="1" applyBorder="1" applyAlignment="1">
      <alignment horizontal="right" vertical="center"/>
    </xf>
    <xf numFmtId="172" fontId="15" fillId="7" borderId="12" xfId="0" applyNumberFormat="1" applyFont="1" applyFill="1" applyBorder="1" applyAlignment="1">
      <alignment horizontal="right" vertical="center"/>
    </xf>
    <xf numFmtId="172" fontId="15" fillId="39" borderId="12" xfId="0" applyNumberFormat="1" applyFont="1" applyFill="1" applyBorder="1" applyAlignment="1">
      <alignment horizontal="right" vertical="center"/>
    </xf>
    <xf numFmtId="0" fontId="36" fillId="39" borderId="12" xfId="0" applyFont="1" applyFill="1" applyBorder="1" applyAlignment="1">
      <alignment horizontal="left" vertical="center" wrapText="1"/>
    </xf>
    <xf numFmtId="0" fontId="18" fillId="39" borderId="12" xfId="0" applyFont="1" applyFill="1" applyBorder="1" applyAlignment="1">
      <alignment horizontal="left" vertical="center" wrapText="1"/>
    </xf>
    <xf numFmtId="10" fontId="18" fillId="33" borderId="15" xfId="0" applyNumberFormat="1" applyFont="1" applyFill="1" applyBorder="1" applyAlignment="1">
      <alignment horizontal="right" vertical="center"/>
    </xf>
    <xf numFmtId="10" fontId="18" fillId="34" borderId="30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15" fillId="34" borderId="28" xfId="0" applyFont="1" applyFill="1" applyBorder="1" applyAlignment="1">
      <alignment horizontal="center" vertical="center" wrapText="1"/>
    </xf>
    <xf numFmtId="16" fontId="15" fillId="38" borderId="58" xfId="0" applyNumberFormat="1" applyFont="1" applyFill="1" applyBorder="1" applyAlignment="1">
      <alignment horizontal="left" vertical="center" wrapText="1"/>
    </xf>
    <xf numFmtId="0" fontId="15" fillId="38" borderId="58" xfId="0" applyFont="1" applyFill="1" applyBorder="1" applyAlignment="1">
      <alignment horizontal="left" vertical="center" wrapText="1"/>
    </xf>
    <xf numFmtId="172" fontId="15" fillId="38" borderId="58" xfId="0" applyNumberFormat="1" applyFont="1" applyFill="1" applyBorder="1" applyAlignment="1">
      <alignment horizontal="right" vertical="center"/>
    </xf>
    <xf numFmtId="172" fontId="15" fillId="34" borderId="58" xfId="0" applyNumberFormat="1" applyFont="1" applyFill="1" applyBorder="1" applyAlignment="1">
      <alignment horizontal="right" vertical="center"/>
    </xf>
    <xf numFmtId="16" fontId="15" fillId="40" borderId="58" xfId="0" applyNumberFormat="1" applyFont="1" applyFill="1" applyBorder="1" applyAlignment="1">
      <alignment horizontal="left" vertical="center" wrapText="1"/>
    </xf>
    <xf numFmtId="0" fontId="15" fillId="40" borderId="58" xfId="0" applyFont="1" applyFill="1" applyBorder="1" applyAlignment="1">
      <alignment horizontal="left" vertical="center" wrapText="1"/>
    </xf>
    <xf numFmtId="172" fontId="15" fillId="40" borderId="58" xfId="0" applyNumberFormat="1" applyFont="1" applyFill="1" applyBorder="1" applyAlignment="1">
      <alignment horizontal="right" vertical="center" wrapText="1"/>
    </xf>
    <xf numFmtId="16" fontId="15" fillId="34" borderId="58" xfId="0" applyNumberFormat="1" applyFont="1" applyFill="1" applyBorder="1" applyAlignment="1">
      <alignment horizontal="left" vertical="center" wrapText="1"/>
    </xf>
    <xf numFmtId="0" fontId="15" fillId="34" borderId="58" xfId="0" applyFont="1" applyFill="1" applyBorder="1" applyAlignment="1">
      <alignment horizontal="left" vertical="center" wrapText="1"/>
    </xf>
    <xf numFmtId="172" fontId="18" fillId="34" borderId="58" xfId="0" applyNumberFormat="1" applyFont="1" applyFill="1" applyBorder="1" applyAlignment="1">
      <alignment horizontal="right" vertical="center"/>
    </xf>
    <xf numFmtId="0" fontId="18" fillId="0" borderId="58" xfId="0" applyFont="1" applyBorder="1" applyAlignment="1">
      <alignment wrapText="1"/>
    </xf>
    <xf numFmtId="172" fontId="18" fillId="0" borderId="58" xfId="0" applyNumberFormat="1" applyFont="1" applyBorder="1" applyAlignment="1">
      <alignment horizontal="right" vertical="center"/>
    </xf>
    <xf numFmtId="172" fontId="15" fillId="33" borderId="58" xfId="0" applyNumberFormat="1" applyFont="1" applyFill="1" applyBorder="1" applyAlignment="1">
      <alignment horizontal="right" vertical="center"/>
    </xf>
    <xf numFmtId="0" fontId="15" fillId="34" borderId="58" xfId="0" applyFont="1" applyFill="1" applyBorder="1" applyAlignment="1">
      <alignment horizontal="left" vertical="top" wrapText="1"/>
    </xf>
    <xf numFmtId="0" fontId="18" fillId="0" borderId="58" xfId="0" applyFont="1" applyFill="1" applyBorder="1" applyAlignment="1">
      <alignment wrapText="1"/>
    </xf>
    <xf numFmtId="172" fontId="18" fillId="0" borderId="58" xfId="0" applyNumberFormat="1" applyFont="1" applyFill="1" applyBorder="1" applyAlignment="1">
      <alignment horizontal="right" vertical="center"/>
    </xf>
    <xf numFmtId="14" fontId="15" fillId="34" borderId="58" xfId="0" applyNumberFormat="1" applyFont="1" applyFill="1" applyBorder="1" applyAlignment="1">
      <alignment vertical="top" wrapText="1"/>
    </xf>
    <xf numFmtId="0" fontId="15" fillId="34" borderId="58" xfId="0" applyFont="1" applyFill="1" applyBorder="1" applyAlignment="1">
      <alignment vertical="top" wrapText="1"/>
    </xf>
    <xf numFmtId="0" fontId="38" fillId="0" borderId="0" xfId="0" applyFont="1" applyAlignment="1">
      <alignment/>
    </xf>
    <xf numFmtId="172" fontId="18" fillId="0" borderId="0" xfId="0" applyNumberFormat="1" applyFont="1" applyAlignment="1">
      <alignment horizontal="right" vertical="center"/>
    </xf>
    <xf numFmtId="0" fontId="18" fillId="0" borderId="58" xfId="54" applyFont="1" applyFill="1" applyBorder="1" applyAlignment="1">
      <alignment wrapText="1"/>
      <protection/>
    </xf>
    <xf numFmtId="0" fontId="18" fillId="0" borderId="59" xfId="54" applyFont="1" applyBorder="1" applyAlignment="1">
      <alignment horizontal="left" vertical="top" wrapText="1"/>
      <protection/>
    </xf>
    <xf numFmtId="172" fontId="18" fillId="0" borderId="58" xfId="54" applyNumberFormat="1" applyFont="1" applyFill="1" applyBorder="1" applyAlignment="1">
      <alignment horizontal="right" vertical="center"/>
      <protection/>
    </xf>
    <xf numFmtId="0" fontId="18" fillId="0" borderId="58" xfId="54" applyFont="1" applyBorder="1" applyAlignment="1">
      <alignment wrapText="1"/>
      <protection/>
    </xf>
    <xf numFmtId="0" fontId="18" fillId="0" borderId="60" xfId="54" applyFont="1" applyBorder="1" applyAlignment="1">
      <alignment horizontal="left" vertical="top" wrapText="1"/>
      <protection/>
    </xf>
    <xf numFmtId="172" fontId="18" fillId="0" borderId="58" xfId="54" applyNumberFormat="1" applyFont="1" applyBorder="1" applyAlignment="1">
      <alignment horizontal="right" vertical="center"/>
      <protection/>
    </xf>
    <xf numFmtId="0" fontId="18" fillId="0" borderId="61" xfId="54" applyFont="1" applyBorder="1" applyAlignment="1">
      <alignment horizontal="left" vertical="top" wrapText="1"/>
      <protection/>
    </xf>
    <xf numFmtId="0" fontId="18" fillId="0" borderId="62" xfId="54" applyFont="1" applyBorder="1" applyAlignment="1">
      <alignment wrapText="1"/>
      <protection/>
    </xf>
    <xf numFmtId="0" fontId="18" fillId="0" borderId="62" xfId="54" applyFont="1" applyFill="1" applyBorder="1" applyAlignment="1">
      <alignment horizontal="left" vertical="top" wrapText="1"/>
      <protection/>
    </xf>
    <xf numFmtId="172" fontId="18" fillId="0" borderId="0" xfId="54" applyNumberFormat="1" applyFont="1" applyFill="1" applyAlignment="1">
      <alignment horizontal="right" vertical="center"/>
      <protection/>
    </xf>
    <xf numFmtId="0" fontId="18" fillId="0" borderId="63" xfId="54" applyFont="1" applyBorder="1" applyAlignment="1">
      <alignment wrapText="1"/>
      <protection/>
    </xf>
    <xf numFmtId="0" fontId="18" fillId="0" borderId="64" xfId="54" applyFont="1" applyBorder="1" applyAlignment="1">
      <alignment wrapText="1"/>
      <protection/>
    </xf>
    <xf numFmtId="0" fontId="18" fillId="0" borderId="65" xfId="54" applyFont="1" applyBorder="1" applyAlignment="1">
      <alignment wrapText="1"/>
      <protection/>
    </xf>
    <xf numFmtId="0" fontId="18" fillId="0" borderId="66" xfId="54" applyFont="1" applyBorder="1" applyAlignment="1">
      <alignment wrapText="1"/>
      <protection/>
    </xf>
    <xf numFmtId="172" fontId="18" fillId="0" borderId="67" xfId="54" applyNumberFormat="1" applyFont="1" applyFill="1" applyBorder="1" applyAlignment="1">
      <alignment horizontal="right" vertical="center"/>
      <protection/>
    </xf>
    <xf numFmtId="172" fontId="15" fillId="34" borderId="58" xfId="0" applyNumberFormat="1" applyFont="1" applyFill="1" applyBorder="1" applyAlignment="1">
      <alignment horizontal="left" vertical="top" wrapText="1"/>
    </xf>
    <xf numFmtId="172" fontId="18" fillId="34" borderId="32" xfId="54" applyNumberFormat="1" applyFont="1" applyFill="1" applyBorder="1" applyAlignment="1">
      <alignment horizontal="right" vertical="center"/>
      <protection/>
    </xf>
    <xf numFmtId="172" fontId="15" fillId="34" borderId="32" xfId="54" applyNumberFormat="1" applyFont="1" applyFill="1" applyBorder="1" applyAlignment="1">
      <alignment horizontal="right" vertical="center"/>
      <protection/>
    </xf>
    <xf numFmtId="0" fontId="18" fillId="36" borderId="0" xfId="0" applyFont="1" applyFill="1" applyAlignment="1">
      <alignment/>
    </xf>
    <xf numFmtId="0" fontId="18" fillId="33" borderId="41" xfId="54" applyFont="1" applyFill="1" applyBorder="1" applyAlignment="1">
      <alignment vertical="center" wrapText="1"/>
      <protection/>
    </xf>
    <xf numFmtId="0" fontId="18" fillId="33" borderId="32" xfId="54" applyFont="1" applyFill="1" applyBorder="1" applyAlignment="1">
      <alignment horizontal="left" vertical="center" wrapText="1"/>
      <protection/>
    </xf>
    <xf numFmtId="172" fontId="15" fillId="33" borderId="32" xfId="54" applyNumberFormat="1" applyFont="1" applyFill="1" applyBorder="1" applyAlignment="1">
      <alignment horizontal="right" vertical="center"/>
      <protection/>
    </xf>
    <xf numFmtId="172" fontId="18" fillId="33" borderId="32" xfId="54" applyNumberFormat="1" applyFont="1" applyFill="1" applyBorder="1" applyAlignment="1">
      <alignment horizontal="right" vertical="center"/>
      <protection/>
    </xf>
    <xf numFmtId="0" fontId="18" fillId="0" borderId="58" xfId="53" applyFont="1" applyBorder="1" applyAlignment="1">
      <alignment wrapText="1"/>
      <protection/>
    </xf>
    <xf numFmtId="172" fontId="18" fillId="0" borderId="58" xfId="53" applyNumberFormat="1" applyFont="1" applyBorder="1" applyAlignment="1">
      <alignment horizontal="right" vertical="center"/>
      <protection/>
    </xf>
    <xf numFmtId="172" fontId="18" fillId="0" borderId="58" xfId="53" applyNumberFormat="1" applyFont="1" applyFill="1" applyBorder="1" applyAlignment="1">
      <alignment horizontal="right" vertical="center"/>
      <protection/>
    </xf>
    <xf numFmtId="0" fontId="18" fillId="0" borderId="58" xfId="53" applyFont="1" applyFill="1" applyBorder="1" applyAlignment="1">
      <alignment wrapText="1"/>
      <protection/>
    </xf>
    <xf numFmtId="172" fontId="15" fillId="33" borderId="58" xfId="53" applyNumberFormat="1" applyFont="1" applyFill="1" applyBorder="1" applyAlignment="1">
      <alignment horizontal="right" vertical="center"/>
      <protection/>
    </xf>
    <xf numFmtId="172" fontId="18" fillId="0" borderId="68" xfId="0" applyNumberFormat="1" applyFont="1" applyBorder="1" applyAlignment="1">
      <alignment horizontal="right" vertical="center"/>
    </xf>
    <xf numFmtId="172" fontId="63" fillId="0" borderId="0" xfId="0" applyNumberFormat="1" applyFont="1" applyAlignment="1">
      <alignment horizontal="right" vertical="center"/>
    </xf>
    <xf numFmtId="172" fontId="18" fillId="0" borderId="58" xfId="0" applyNumberFormat="1" applyFont="1" applyFill="1" applyBorder="1" applyAlignment="1">
      <alignment horizontal="right" vertical="center" wrapText="1"/>
    </xf>
    <xf numFmtId="172" fontId="15" fillId="34" borderId="58" xfId="0" applyNumberFormat="1" applyFont="1" applyFill="1" applyBorder="1" applyAlignment="1">
      <alignment horizontal="right" vertical="center" wrapText="1"/>
    </xf>
    <xf numFmtId="0" fontId="18" fillId="0" borderId="58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172" fontId="18" fillId="0" borderId="0" xfId="0" applyNumberFormat="1" applyFont="1" applyAlignment="1">
      <alignment/>
    </xf>
    <xf numFmtId="0" fontId="18" fillId="0" borderId="69" xfId="0" applyFont="1" applyBorder="1" applyAlignment="1">
      <alignment horizontal="left" vertical="center" wrapText="1"/>
    </xf>
    <xf numFmtId="172" fontId="18" fillId="0" borderId="67" xfId="0" applyNumberFormat="1" applyFont="1" applyBorder="1" applyAlignment="1">
      <alignment horizontal="right" vertical="center"/>
    </xf>
    <xf numFmtId="0" fontId="15" fillId="34" borderId="62" xfId="0" applyFont="1" applyFill="1" applyBorder="1" applyAlignment="1">
      <alignment horizontal="left" vertical="center" wrapText="1"/>
    </xf>
    <xf numFmtId="0" fontId="63" fillId="33" borderId="0" xfId="0" applyFont="1" applyFill="1" applyAlignment="1">
      <alignment horizontal="left" vertical="center"/>
    </xf>
    <xf numFmtId="8" fontId="18" fillId="0" borderId="0" xfId="0" applyNumberFormat="1" applyFont="1" applyAlignment="1">
      <alignment/>
    </xf>
    <xf numFmtId="0" fontId="18" fillId="33" borderId="58" xfId="0" applyFont="1" applyFill="1" applyBorder="1" applyAlignment="1">
      <alignment horizontal="left" vertical="center" wrapText="1"/>
    </xf>
    <xf numFmtId="172" fontId="18" fillId="33" borderId="58" xfId="0" applyNumberFormat="1" applyFont="1" applyFill="1" applyBorder="1" applyAlignment="1">
      <alignment horizontal="right" vertical="center"/>
    </xf>
    <xf numFmtId="172" fontId="63" fillId="33" borderId="70" xfId="0" applyNumberFormat="1" applyFont="1" applyFill="1" applyBorder="1" applyAlignment="1">
      <alignment horizontal="right" vertical="center"/>
    </xf>
    <xf numFmtId="0" fontId="18" fillId="0" borderId="12" xfId="51" applyFont="1" applyBorder="1" applyAlignment="1">
      <alignment vertical="center" wrapText="1"/>
      <protection/>
    </xf>
    <xf numFmtId="172" fontId="18" fillId="0" borderId="58" xfId="51" applyNumberFormat="1" applyFont="1" applyBorder="1" applyAlignment="1">
      <alignment horizontal="right" vertical="center"/>
      <protection/>
    </xf>
    <xf numFmtId="172" fontId="15" fillId="33" borderId="58" xfId="51" applyNumberFormat="1" applyFont="1" applyFill="1" applyBorder="1" applyAlignment="1">
      <alignment horizontal="right" vertical="center"/>
      <protection/>
    </xf>
    <xf numFmtId="172" fontId="15" fillId="34" borderId="58" xfId="51" applyNumberFormat="1" applyFont="1" applyFill="1" applyBorder="1" applyAlignment="1">
      <alignment horizontal="right" vertical="center"/>
      <protection/>
    </xf>
    <xf numFmtId="0" fontId="18" fillId="0" borderId="12" xfId="51" applyFont="1" applyBorder="1" applyAlignment="1">
      <alignment wrapText="1"/>
      <protection/>
    </xf>
    <xf numFmtId="0" fontId="18" fillId="0" borderId="12" xfId="52" applyFont="1" applyBorder="1" applyAlignment="1">
      <alignment wrapText="1"/>
      <protection/>
    </xf>
    <xf numFmtId="0" fontId="63" fillId="0" borderId="0" xfId="0" applyFont="1" applyAlignment="1">
      <alignment/>
    </xf>
    <xf numFmtId="0" fontId="18" fillId="0" borderId="63" xfId="0" applyFont="1" applyBorder="1" applyAlignment="1">
      <alignment wrapText="1"/>
    </xf>
    <xf numFmtId="0" fontId="18" fillId="0" borderId="16" xfId="0" applyFont="1" applyBorder="1" applyAlignment="1">
      <alignment wrapText="1"/>
    </xf>
    <xf numFmtId="0" fontId="18" fillId="0" borderId="49" xfId="0" applyFont="1" applyBorder="1" applyAlignment="1">
      <alignment wrapText="1"/>
    </xf>
    <xf numFmtId="172" fontId="18" fillId="0" borderId="63" xfId="51" applyNumberFormat="1" applyFont="1" applyBorder="1" applyAlignment="1">
      <alignment horizontal="right" vertical="center"/>
      <protection/>
    </xf>
    <xf numFmtId="172" fontId="15" fillId="33" borderId="63" xfId="51" applyNumberFormat="1" applyFont="1" applyFill="1" applyBorder="1" applyAlignment="1">
      <alignment horizontal="right" vertical="center"/>
      <protection/>
    </xf>
    <xf numFmtId="172" fontId="15" fillId="34" borderId="63" xfId="51" applyNumberFormat="1" applyFont="1" applyFill="1" applyBorder="1" applyAlignment="1">
      <alignment horizontal="right" vertical="center"/>
      <protection/>
    </xf>
    <xf numFmtId="0" fontId="18" fillId="41" borderId="71" xfId="0" applyFont="1" applyFill="1" applyBorder="1" applyAlignment="1">
      <alignment wrapText="1"/>
    </xf>
    <xf numFmtId="0" fontId="18" fillId="41" borderId="72" xfId="0" applyFont="1" applyFill="1" applyBorder="1" applyAlignment="1">
      <alignment wrapText="1"/>
    </xf>
    <xf numFmtId="172" fontId="18" fillId="41" borderId="0" xfId="51" applyNumberFormat="1" applyFont="1" applyFill="1" applyBorder="1" applyAlignment="1">
      <alignment horizontal="right" vertical="center"/>
      <protection/>
    </xf>
    <xf numFmtId="172" fontId="15" fillId="41" borderId="0" xfId="51" applyNumberFormat="1" applyFont="1" applyFill="1" applyBorder="1" applyAlignment="1">
      <alignment horizontal="right" vertical="center"/>
      <protection/>
    </xf>
    <xf numFmtId="0" fontId="15" fillId="42" borderId="54" xfId="0" applyFont="1" applyFill="1" applyBorder="1" applyAlignment="1">
      <alignment wrapText="1"/>
    </xf>
    <xf numFmtId="0" fontId="15" fillId="42" borderId="55" xfId="0" applyFont="1" applyFill="1" applyBorder="1" applyAlignment="1">
      <alignment wrapText="1"/>
    </xf>
    <xf numFmtId="172" fontId="15" fillId="42" borderId="55" xfId="0" applyNumberFormat="1" applyFont="1" applyFill="1" applyBorder="1" applyAlignment="1">
      <alignment horizontal="right" vertical="center"/>
    </xf>
    <xf numFmtId="0" fontId="18" fillId="34" borderId="12" xfId="0" applyFont="1" applyFill="1" applyBorder="1" applyAlignment="1">
      <alignment wrapText="1"/>
    </xf>
    <xf numFmtId="9" fontId="18" fillId="34" borderId="12" xfId="0" applyNumberFormat="1" applyFont="1" applyFill="1" applyBorder="1" applyAlignment="1">
      <alignment horizontal="center" vertical="center"/>
    </xf>
    <xf numFmtId="3" fontId="18" fillId="34" borderId="12" xfId="0" applyNumberFormat="1" applyFont="1" applyFill="1" applyBorder="1" applyAlignment="1">
      <alignment horizontal="center" vertical="center"/>
    </xf>
    <xf numFmtId="3" fontId="15" fillId="34" borderId="12" xfId="0" applyNumberFormat="1" applyFont="1" applyFill="1" applyBorder="1" applyAlignment="1">
      <alignment horizontal="center" vertical="center"/>
    </xf>
    <xf numFmtId="3" fontId="18" fillId="0" borderId="0" xfId="0" applyNumberFormat="1" applyFont="1" applyBorder="1" applyAlignment="1">
      <alignment horizontal="center" vertical="center"/>
    </xf>
    <xf numFmtId="3" fontId="15" fillId="33" borderId="0" xfId="0" applyNumberFormat="1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/>
    </xf>
    <xf numFmtId="0" fontId="38" fillId="33" borderId="0" xfId="0" applyFont="1" applyFill="1" applyAlignment="1">
      <alignment/>
    </xf>
    <xf numFmtId="0" fontId="40" fillId="0" borderId="0" xfId="0" applyFont="1" applyAlignment="1">
      <alignment horizontal="justify" vertical="center"/>
    </xf>
    <xf numFmtId="172" fontId="18" fillId="0" borderId="32" xfId="54" applyNumberFormat="1" applyFont="1" applyFill="1" applyBorder="1" applyAlignment="1">
      <alignment horizontal="right" vertical="center"/>
      <protection/>
    </xf>
    <xf numFmtId="0" fontId="15" fillId="38" borderId="73" xfId="0" applyFont="1" applyFill="1" applyBorder="1" applyAlignment="1">
      <alignment horizontal="left" vertical="center" wrapText="1"/>
    </xf>
    <xf numFmtId="0" fontId="15" fillId="40" borderId="73" xfId="0" applyFont="1" applyFill="1" applyBorder="1" applyAlignment="1">
      <alignment horizontal="left" vertical="center" wrapText="1"/>
    </xf>
    <xf numFmtId="0" fontId="15" fillId="40" borderId="0" xfId="0" applyFont="1" applyFill="1" applyBorder="1" applyAlignment="1">
      <alignment horizontal="left" vertical="center" wrapText="1"/>
    </xf>
    <xf numFmtId="0" fontId="15" fillId="34" borderId="74" xfId="0" applyFont="1" applyFill="1" applyBorder="1" applyAlignment="1">
      <alignment vertical="top" wrapText="1"/>
    </xf>
    <xf numFmtId="0" fontId="15" fillId="34" borderId="75" xfId="0" applyFont="1" applyFill="1" applyBorder="1" applyAlignment="1">
      <alignment vertical="top" wrapText="1"/>
    </xf>
    <xf numFmtId="0" fontId="15" fillId="34" borderId="65" xfId="0" applyFont="1" applyFill="1" applyBorder="1" applyAlignment="1">
      <alignment vertical="top" wrapText="1"/>
    </xf>
    <xf numFmtId="0" fontId="15" fillId="34" borderId="76" xfId="0" applyFont="1" applyFill="1" applyBorder="1" applyAlignment="1">
      <alignment vertical="top" wrapText="1"/>
    </xf>
    <xf numFmtId="0" fontId="18" fillId="0" borderId="62" xfId="0" applyFont="1" applyBorder="1" applyAlignment="1">
      <alignment wrapText="1"/>
    </xf>
    <xf numFmtId="0" fontId="18" fillId="0" borderId="77" xfId="0" applyFont="1" applyBorder="1" applyAlignment="1">
      <alignment wrapText="1"/>
    </xf>
    <xf numFmtId="172" fontId="18" fillId="0" borderId="77" xfId="0" applyNumberFormat="1" applyFont="1" applyBorder="1" applyAlignment="1">
      <alignment horizontal="right" wrapText="1"/>
    </xf>
    <xf numFmtId="0" fontId="18" fillId="0" borderId="78" xfId="0" applyFont="1" applyBorder="1" applyAlignment="1">
      <alignment wrapText="1"/>
    </xf>
    <xf numFmtId="0" fontId="15" fillId="34" borderId="63" xfId="0" applyFont="1" applyFill="1" applyBorder="1" applyAlignment="1">
      <alignment horizontal="left" vertical="top" wrapText="1"/>
    </xf>
    <xf numFmtId="0" fontId="15" fillId="34" borderId="65" xfId="0" applyFont="1" applyFill="1" applyBorder="1" applyAlignment="1">
      <alignment horizontal="center" vertical="center" wrapText="1"/>
    </xf>
    <xf numFmtId="0" fontId="15" fillId="34" borderId="76" xfId="0" applyFont="1" applyFill="1" applyBorder="1" applyAlignment="1">
      <alignment horizontal="center" vertical="center" wrapText="1"/>
    </xf>
    <xf numFmtId="0" fontId="15" fillId="34" borderId="66" xfId="0" applyFont="1" applyFill="1" applyBorder="1" applyAlignment="1">
      <alignment horizontal="center" vertical="center" wrapText="1"/>
    </xf>
    <xf numFmtId="0" fontId="18" fillId="0" borderId="62" xfId="0" applyFont="1" applyFill="1" applyBorder="1" applyAlignment="1">
      <alignment wrapText="1"/>
    </xf>
    <xf numFmtId="0" fontId="15" fillId="34" borderId="79" xfId="0" applyFont="1" applyFill="1" applyBorder="1" applyAlignment="1">
      <alignment vertical="top" wrapText="1"/>
    </xf>
    <xf numFmtId="0" fontId="15" fillId="34" borderId="80" xfId="0" applyFont="1" applyFill="1" applyBorder="1" applyAlignment="1">
      <alignment horizontal="center" vertical="center" wrapText="1"/>
    </xf>
    <xf numFmtId="0" fontId="15" fillId="34" borderId="81" xfId="0" applyFont="1" applyFill="1" applyBorder="1" applyAlignment="1">
      <alignment horizontal="center" vertical="center" wrapText="1"/>
    </xf>
    <xf numFmtId="0" fontId="15" fillId="34" borderId="82" xfId="0" applyFont="1" applyFill="1" applyBorder="1" applyAlignment="1">
      <alignment horizontal="center" vertical="center" wrapText="1"/>
    </xf>
    <xf numFmtId="0" fontId="15" fillId="34" borderId="57" xfId="0" applyFont="1" applyFill="1" applyBorder="1" applyAlignment="1">
      <alignment vertical="top" wrapText="1"/>
    </xf>
    <xf numFmtId="0" fontId="15" fillId="34" borderId="40" xfId="0" applyFont="1" applyFill="1" applyBorder="1" applyAlignment="1">
      <alignment vertical="top" wrapText="1"/>
    </xf>
    <xf numFmtId="0" fontId="18" fillId="0" borderId="83" xfId="0" applyFont="1" applyBorder="1" applyAlignment="1">
      <alignment wrapText="1"/>
    </xf>
    <xf numFmtId="0" fontId="18" fillId="0" borderId="84" xfId="0" applyFont="1" applyBorder="1" applyAlignment="1">
      <alignment wrapText="1"/>
    </xf>
    <xf numFmtId="0" fontId="18" fillId="0" borderId="59" xfId="54" applyFont="1" applyBorder="1" applyAlignment="1">
      <alignment wrapText="1"/>
      <protection/>
    </xf>
    <xf numFmtId="0" fontId="18" fillId="0" borderId="84" xfId="54" applyFont="1" applyBorder="1" applyAlignment="1">
      <alignment horizontal="left" vertical="top" wrapText="1"/>
      <protection/>
    </xf>
    <xf numFmtId="0" fontId="18" fillId="0" borderId="57" xfId="54" applyFont="1" applyBorder="1" applyAlignment="1">
      <alignment wrapText="1"/>
      <protection/>
    </xf>
    <xf numFmtId="0" fontId="18" fillId="0" borderId="85" xfId="54" applyFont="1" applyBorder="1" applyAlignment="1">
      <alignment wrapText="1"/>
      <protection/>
    </xf>
    <xf numFmtId="0" fontId="18" fillId="0" borderId="60" xfId="54" applyFont="1" applyBorder="1" applyAlignment="1">
      <alignment wrapText="1"/>
      <protection/>
    </xf>
    <xf numFmtId="0" fontId="18" fillId="0" borderId="48" xfId="54" applyFont="1" applyBorder="1" applyAlignment="1">
      <alignment horizontal="left" vertical="top" wrapText="1"/>
      <protection/>
    </xf>
    <xf numFmtId="0" fontId="18" fillId="0" borderId="0" xfId="54" applyFont="1" applyBorder="1" applyAlignment="1">
      <alignment wrapText="1"/>
      <protection/>
    </xf>
    <xf numFmtId="0" fontId="18" fillId="0" borderId="61" xfId="54" applyFont="1" applyBorder="1" applyAlignment="1">
      <alignment wrapText="1"/>
      <protection/>
    </xf>
    <xf numFmtId="0" fontId="18" fillId="0" borderId="57" xfId="54" applyFont="1" applyBorder="1" applyAlignment="1">
      <alignment horizontal="left" vertical="top" wrapText="1"/>
      <protection/>
    </xf>
    <xf numFmtId="172" fontId="18" fillId="0" borderId="57" xfId="55" applyNumberFormat="1" applyFont="1" applyFill="1" applyBorder="1" applyAlignment="1">
      <alignment horizontal="right" wrapText="1"/>
      <protection/>
    </xf>
    <xf numFmtId="172" fontId="18" fillId="0" borderId="86" xfId="55" applyNumberFormat="1" applyFont="1" applyFill="1" applyBorder="1" applyAlignment="1">
      <alignment horizontal="right" wrapText="1"/>
      <protection/>
    </xf>
    <xf numFmtId="172" fontId="18" fillId="0" borderId="72" xfId="55" applyNumberFormat="1" applyFont="1" applyFill="1" applyBorder="1" applyAlignment="1">
      <alignment horizontal="right" wrapText="1"/>
      <protection/>
    </xf>
    <xf numFmtId="0" fontId="18" fillId="0" borderId="46" xfId="54" applyFont="1" applyBorder="1" applyAlignment="1">
      <alignment horizontal="left" vertical="top" wrapText="1"/>
      <protection/>
    </xf>
    <xf numFmtId="0" fontId="18" fillId="0" borderId="87" xfId="54" applyFont="1" applyBorder="1" applyAlignment="1">
      <alignment wrapText="1"/>
      <protection/>
    </xf>
    <xf numFmtId="0" fontId="18" fillId="0" borderId="77" xfId="54" applyFont="1" applyBorder="1" applyAlignment="1">
      <alignment wrapText="1"/>
      <protection/>
    </xf>
    <xf numFmtId="172" fontId="18" fillId="0" borderId="77" xfId="54" applyNumberFormat="1" applyFont="1" applyBorder="1" applyAlignment="1">
      <alignment horizontal="right" wrapText="1"/>
      <protection/>
    </xf>
    <xf numFmtId="172" fontId="18" fillId="0" borderId="73" xfId="54" applyNumberFormat="1" applyFont="1" applyBorder="1" applyAlignment="1">
      <alignment horizontal="right" wrapText="1"/>
      <protection/>
    </xf>
    <xf numFmtId="172" fontId="18" fillId="0" borderId="84" xfId="54" applyNumberFormat="1" applyFont="1" applyBorder="1" applyAlignment="1">
      <alignment horizontal="right" wrapText="1"/>
      <protection/>
    </xf>
    <xf numFmtId="172" fontId="18" fillId="0" borderId="13" xfId="54" applyNumberFormat="1" applyFont="1" applyBorder="1" applyAlignment="1">
      <alignment horizontal="right" wrapText="1"/>
      <protection/>
    </xf>
    <xf numFmtId="172" fontId="18" fillId="0" borderId="88" xfId="54" applyNumberFormat="1" applyFont="1" applyBorder="1" applyAlignment="1">
      <alignment horizontal="right" wrapText="1"/>
      <protection/>
    </xf>
    <xf numFmtId="0" fontId="18" fillId="0" borderId="62" xfId="54" applyFont="1" applyBorder="1" applyAlignment="1">
      <alignment horizontal="left" vertical="top" wrapText="1"/>
      <protection/>
    </xf>
    <xf numFmtId="0" fontId="18" fillId="0" borderId="62" xfId="54" applyFont="1" applyFill="1" applyBorder="1" applyAlignment="1">
      <alignment wrapText="1"/>
      <protection/>
    </xf>
    <xf numFmtId="0" fontId="18" fillId="0" borderId="77" xfId="54" applyFont="1" applyFill="1" applyBorder="1" applyAlignment="1">
      <alignment wrapText="1"/>
      <protection/>
    </xf>
    <xf numFmtId="172" fontId="18" fillId="0" borderId="77" xfId="54" applyNumberFormat="1" applyFont="1" applyFill="1" applyBorder="1" applyAlignment="1">
      <alignment horizontal="right" vertical="center" wrapText="1"/>
      <protection/>
    </xf>
    <xf numFmtId="172" fontId="18" fillId="0" borderId="73" xfId="54" applyNumberFormat="1" applyFont="1" applyFill="1" applyBorder="1" applyAlignment="1">
      <alignment horizontal="right" vertical="center" wrapText="1"/>
      <protection/>
    </xf>
    <xf numFmtId="172" fontId="18" fillId="0" borderId="84" xfId="54" applyNumberFormat="1" applyFont="1" applyFill="1" applyBorder="1" applyAlignment="1">
      <alignment horizontal="right" vertical="center" wrapText="1"/>
      <protection/>
    </xf>
    <xf numFmtId="0" fontId="18" fillId="34" borderId="74" xfId="54" applyFont="1" applyFill="1" applyBorder="1" applyAlignment="1">
      <alignment horizontal="center" vertical="center" wrapText="1"/>
      <protection/>
    </xf>
    <xf numFmtId="0" fontId="18" fillId="34" borderId="89" xfId="54" applyFont="1" applyFill="1" applyBorder="1" applyAlignment="1">
      <alignment horizontal="center" vertical="center" wrapText="1"/>
      <protection/>
    </xf>
    <xf numFmtId="10" fontId="18" fillId="34" borderId="90" xfId="54" applyNumberFormat="1" applyFont="1" applyFill="1" applyBorder="1" applyAlignment="1">
      <alignment horizontal="center" vertical="center" wrapText="1"/>
      <protection/>
    </xf>
    <xf numFmtId="9" fontId="18" fillId="34" borderId="67" xfId="54" applyNumberFormat="1" applyFont="1" applyFill="1" applyBorder="1" applyAlignment="1">
      <alignment horizontal="center" vertical="center" wrapText="1"/>
      <protection/>
    </xf>
    <xf numFmtId="9" fontId="18" fillId="34" borderId="58" xfId="54" applyNumberFormat="1" applyFont="1" applyFill="1" applyBorder="1" applyAlignment="1">
      <alignment horizontal="center" vertical="center" wrapText="1"/>
      <protection/>
    </xf>
    <xf numFmtId="10" fontId="18" fillId="34" borderId="69" xfId="54" applyNumberFormat="1" applyFont="1" applyFill="1" applyBorder="1" applyAlignment="1">
      <alignment horizontal="center" vertical="center" wrapText="1"/>
      <protection/>
    </xf>
    <xf numFmtId="0" fontId="18" fillId="34" borderId="65" xfId="54" applyFont="1" applyFill="1" applyBorder="1" applyAlignment="1">
      <alignment horizontal="center" vertical="center" wrapText="1"/>
      <protection/>
    </xf>
    <xf numFmtId="0" fontId="18" fillId="34" borderId="76" xfId="54" applyFont="1" applyFill="1" applyBorder="1" applyAlignment="1">
      <alignment horizontal="center" vertical="center" wrapText="1"/>
      <protection/>
    </xf>
    <xf numFmtId="0" fontId="18" fillId="34" borderId="66" xfId="54" applyFont="1" applyFill="1" applyBorder="1" applyAlignment="1">
      <alignment horizontal="center" vertical="center" wrapText="1"/>
      <protection/>
    </xf>
    <xf numFmtId="0" fontId="18" fillId="34" borderId="91" xfId="54" applyFont="1" applyFill="1" applyBorder="1" applyAlignment="1">
      <alignment horizontal="center" vertical="center" wrapText="1"/>
      <protection/>
    </xf>
    <xf numFmtId="0" fontId="18" fillId="34" borderId="67" xfId="54" applyFont="1" applyFill="1" applyBorder="1" applyAlignment="1">
      <alignment horizontal="center" vertical="center" wrapText="1"/>
      <protection/>
    </xf>
    <xf numFmtId="0" fontId="18" fillId="34" borderId="58" xfId="54" applyFont="1" applyFill="1" applyBorder="1" applyAlignment="1">
      <alignment horizontal="center" vertical="center" wrapText="1"/>
      <protection/>
    </xf>
    <xf numFmtId="0" fontId="18" fillId="34" borderId="88" xfId="54" applyFont="1" applyFill="1" applyBorder="1" applyAlignment="1">
      <alignment horizontal="center" vertical="center" wrapText="1"/>
      <protection/>
    </xf>
    <xf numFmtId="0" fontId="18" fillId="34" borderId="92" xfId="54" applyFont="1" applyFill="1" applyBorder="1" applyAlignment="1">
      <alignment horizontal="center" vertical="center" wrapText="1"/>
      <protection/>
    </xf>
    <xf numFmtId="0" fontId="18" fillId="34" borderId="57" xfId="54" applyFont="1" applyFill="1" applyBorder="1" applyAlignment="1">
      <alignment horizontal="center" vertical="center" wrapText="1"/>
      <protection/>
    </xf>
    <xf numFmtId="0" fontId="18" fillId="34" borderId="35" xfId="54" applyFont="1" applyFill="1" applyBorder="1" applyAlignment="1">
      <alignment horizontal="center" vertical="center" wrapText="1"/>
      <protection/>
    </xf>
    <xf numFmtId="0" fontId="18" fillId="34" borderId="77" xfId="54" applyFont="1" applyFill="1" applyBorder="1" applyAlignment="1">
      <alignment horizontal="center" vertical="center" wrapText="1"/>
      <protection/>
    </xf>
    <xf numFmtId="0" fontId="18" fillId="34" borderId="73" xfId="54" applyFont="1" applyFill="1" applyBorder="1" applyAlignment="1">
      <alignment horizontal="center" vertical="center" wrapText="1"/>
      <protection/>
    </xf>
    <xf numFmtId="3" fontId="18" fillId="34" borderId="35" xfId="54" applyNumberFormat="1" applyFont="1" applyFill="1" applyBorder="1" applyAlignment="1">
      <alignment horizontal="center" vertical="center" wrapText="1"/>
      <protection/>
    </xf>
    <xf numFmtId="3" fontId="18" fillId="34" borderId="77" xfId="54" applyNumberFormat="1" applyFont="1" applyFill="1" applyBorder="1" applyAlignment="1">
      <alignment horizontal="center" vertical="center" wrapText="1"/>
      <protection/>
    </xf>
    <xf numFmtId="3" fontId="18" fillId="34" borderId="73" xfId="54" applyNumberFormat="1" applyFont="1" applyFill="1" applyBorder="1" applyAlignment="1">
      <alignment horizontal="center" vertical="center" wrapText="1"/>
      <protection/>
    </xf>
    <xf numFmtId="172" fontId="18" fillId="0" borderId="46" xfId="54" applyNumberFormat="1" applyFont="1" applyBorder="1" applyAlignment="1">
      <alignment horizontal="right" wrapText="1"/>
      <protection/>
    </xf>
    <xf numFmtId="172" fontId="18" fillId="0" borderId="48" xfId="54" applyNumberFormat="1" applyFont="1" applyBorder="1" applyAlignment="1">
      <alignment horizontal="right" wrapText="1"/>
      <protection/>
    </xf>
    <xf numFmtId="0" fontId="18" fillId="0" borderId="64" xfId="54" applyFont="1" applyFill="1" applyBorder="1" applyAlignment="1">
      <alignment wrapText="1"/>
      <protection/>
    </xf>
    <xf numFmtId="0" fontId="18" fillId="0" borderId="78" xfId="54" applyFont="1" applyBorder="1" applyAlignment="1">
      <alignment wrapText="1"/>
      <protection/>
    </xf>
    <xf numFmtId="172" fontId="18" fillId="0" borderId="78" xfId="54" applyNumberFormat="1" applyFont="1" applyBorder="1" applyAlignment="1">
      <alignment horizontal="right" wrapText="1"/>
      <protection/>
    </xf>
    <xf numFmtId="172" fontId="18" fillId="0" borderId="0" xfId="54" applyNumberFormat="1" applyFont="1" applyBorder="1" applyAlignment="1">
      <alignment horizontal="right" wrapText="1"/>
      <protection/>
    </xf>
    <xf numFmtId="0" fontId="18" fillId="0" borderId="41" xfId="54" applyFont="1" applyBorder="1" applyAlignment="1">
      <alignment wrapText="1"/>
      <protection/>
    </xf>
    <xf numFmtId="0" fontId="18" fillId="0" borderId="93" xfId="54" applyFont="1" applyFill="1" applyBorder="1" applyAlignment="1">
      <alignment wrapText="1"/>
      <protection/>
    </xf>
    <xf numFmtId="172" fontId="18" fillId="0" borderId="57" xfId="54" applyNumberFormat="1" applyFont="1" applyBorder="1" applyAlignment="1">
      <alignment horizontal="right" wrapText="1"/>
      <protection/>
    </xf>
    <xf numFmtId="172" fontId="18" fillId="0" borderId="94" xfId="54" applyNumberFormat="1" applyFont="1" applyBorder="1" applyAlignment="1">
      <alignment horizontal="right" wrapText="1"/>
      <protection/>
    </xf>
    <xf numFmtId="172" fontId="18" fillId="0" borderId="86" xfId="54" applyNumberFormat="1" applyFont="1" applyBorder="1" applyAlignment="1">
      <alignment horizontal="right" wrapText="1"/>
      <protection/>
    </xf>
    <xf numFmtId="0" fontId="15" fillId="34" borderId="19" xfId="54" applyFont="1" applyFill="1" applyBorder="1" applyAlignment="1">
      <alignment horizontal="center" vertical="center" wrapText="1"/>
      <protection/>
    </xf>
    <xf numFmtId="0" fontId="15" fillId="34" borderId="57" xfId="54" applyFont="1" applyFill="1" applyBorder="1" applyAlignment="1">
      <alignment horizontal="center" vertical="center" wrapText="1"/>
      <protection/>
    </xf>
    <xf numFmtId="3" fontId="18" fillId="34" borderId="43" xfId="54" applyNumberFormat="1" applyFont="1" applyFill="1" applyBorder="1" applyAlignment="1">
      <alignment horizontal="center" vertical="center" wrapText="1"/>
      <protection/>
    </xf>
    <xf numFmtId="3" fontId="18" fillId="34" borderId="32" xfId="54" applyNumberFormat="1" applyFont="1" applyFill="1" applyBorder="1" applyAlignment="1">
      <alignment horizontal="center" vertical="center" wrapText="1"/>
      <protection/>
    </xf>
    <xf numFmtId="3" fontId="18" fillId="34" borderId="42" xfId="54" applyNumberFormat="1" applyFont="1" applyFill="1" applyBorder="1" applyAlignment="1">
      <alignment horizontal="center" vertical="center" wrapText="1"/>
      <protection/>
    </xf>
    <xf numFmtId="0" fontId="15" fillId="34" borderId="47" xfId="54" applyFont="1" applyFill="1" applyBorder="1" applyAlignment="1">
      <alignment horizontal="center" vertical="center" wrapText="1"/>
      <protection/>
    </xf>
    <xf numFmtId="0" fontId="15" fillId="34" borderId="60" xfId="54" applyFont="1" applyFill="1" applyBorder="1" applyAlignment="1">
      <alignment horizontal="center" vertical="center" wrapText="1"/>
      <protection/>
    </xf>
    <xf numFmtId="0" fontId="15" fillId="34" borderId="41" xfId="54" applyFont="1" applyFill="1" applyBorder="1" applyAlignment="1">
      <alignment horizontal="center" vertical="center" wrapText="1"/>
      <protection/>
    </xf>
    <xf numFmtId="0" fontId="15" fillId="34" borderId="47" xfId="0" applyFont="1" applyFill="1" applyBorder="1" applyAlignment="1">
      <alignment horizontal="center" vertical="center"/>
    </xf>
    <xf numFmtId="0" fontId="18" fillId="34" borderId="32" xfId="54" applyFont="1" applyFill="1" applyBorder="1" applyAlignment="1">
      <alignment horizontal="center" vertical="center" wrapText="1"/>
      <protection/>
    </xf>
    <xf numFmtId="0" fontId="18" fillId="34" borderId="42" xfId="54" applyFont="1" applyFill="1" applyBorder="1" applyAlignment="1">
      <alignment horizontal="center" vertical="center" wrapText="1"/>
      <protection/>
    </xf>
    <xf numFmtId="0" fontId="15" fillId="34" borderId="20" xfId="0" applyFont="1" applyFill="1" applyBorder="1" applyAlignment="1">
      <alignment horizontal="center" vertical="center"/>
    </xf>
    <xf numFmtId="0" fontId="15" fillId="34" borderId="95" xfId="54" applyFont="1" applyFill="1" applyBorder="1" applyAlignment="1">
      <alignment horizontal="center" vertical="center" wrapText="1"/>
      <protection/>
    </xf>
    <xf numFmtId="0" fontId="15" fillId="33" borderId="41" xfId="54" applyFont="1" applyFill="1" applyBorder="1" applyAlignment="1">
      <alignment horizontal="center" vertical="center" wrapText="1"/>
      <protection/>
    </xf>
    <xf numFmtId="0" fontId="18" fillId="33" borderId="32" xfId="0" applyFont="1" applyFill="1" applyBorder="1" applyAlignment="1">
      <alignment horizontal="center" vertical="center"/>
    </xf>
    <xf numFmtId="0" fontId="18" fillId="33" borderId="32" xfId="54" applyFont="1" applyFill="1" applyBorder="1" applyAlignment="1">
      <alignment wrapText="1"/>
      <protection/>
    </xf>
    <xf numFmtId="0" fontId="18" fillId="33" borderId="32" xfId="54" applyFont="1" applyFill="1" applyBorder="1" applyAlignment="1">
      <alignment horizontal="left" wrapText="1"/>
      <protection/>
    </xf>
    <xf numFmtId="172" fontId="18" fillId="33" borderId="32" xfId="54" applyNumberFormat="1" applyFont="1" applyFill="1" applyBorder="1" applyAlignment="1">
      <alignment horizontal="right" vertical="center" wrapText="1"/>
      <protection/>
    </xf>
    <xf numFmtId="172" fontId="18" fillId="33" borderId="42" xfId="54" applyNumberFormat="1" applyFont="1" applyFill="1" applyBorder="1" applyAlignment="1">
      <alignment horizontal="right" vertical="center" wrapText="1"/>
      <protection/>
    </xf>
    <xf numFmtId="0" fontId="18" fillId="34" borderId="74" xfId="0" applyFont="1" applyFill="1" applyBorder="1" applyAlignment="1">
      <alignment horizontal="center" vertical="center" wrapText="1"/>
    </xf>
    <xf numFmtId="0" fontId="18" fillId="34" borderId="75" xfId="0" applyFont="1" applyFill="1" applyBorder="1" applyAlignment="1">
      <alignment horizontal="center" vertical="center" wrapText="1"/>
    </xf>
    <xf numFmtId="0" fontId="18" fillId="34" borderId="89" xfId="0" applyFont="1" applyFill="1" applyBorder="1" applyAlignment="1">
      <alignment horizontal="center" vertical="center" wrapText="1"/>
    </xf>
    <xf numFmtId="0" fontId="18" fillId="34" borderId="67" xfId="0" applyFont="1" applyFill="1" applyBorder="1" applyAlignment="1">
      <alignment horizontal="center" vertical="center" wrapText="1"/>
    </xf>
    <xf numFmtId="0" fontId="18" fillId="34" borderId="58" xfId="0" applyFont="1" applyFill="1" applyBorder="1" applyAlignment="1">
      <alignment horizontal="center" vertical="center" wrapText="1"/>
    </xf>
    <xf numFmtId="0" fontId="18" fillId="34" borderId="65" xfId="0" applyFont="1" applyFill="1" applyBorder="1" applyAlignment="1">
      <alignment horizontal="center" vertical="center" wrapText="1"/>
    </xf>
    <xf numFmtId="0" fontId="18" fillId="34" borderId="76" xfId="0" applyFont="1" applyFill="1" applyBorder="1" applyAlignment="1">
      <alignment horizontal="center" vertical="center" wrapText="1"/>
    </xf>
    <xf numFmtId="0" fontId="18" fillId="34" borderId="66" xfId="0" applyFont="1" applyFill="1" applyBorder="1" applyAlignment="1">
      <alignment horizontal="center" vertical="center" wrapText="1"/>
    </xf>
    <xf numFmtId="0" fontId="18" fillId="34" borderId="57" xfId="0" applyFont="1" applyFill="1" applyBorder="1" applyAlignment="1">
      <alignment horizontal="center" vertical="center" wrapText="1"/>
    </xf>
    <xf numFmtId="0" fontId="18" fillId="34" borderId="92" xfId="0" applyFont="1" applyFill="1" applyBorder="1" applyAlignment="1">
      <alignment horizontal="center" vertical="center" wrapText="1"/>
    </xf>
    <xf numFmtId="0" fontId="18" fillId="34" borderId="96" xfId="0" applyFont="1" applyFill="1" applyBorder="1" applyAlignment="1">
      <alignment horizontal="center" vertical="center" wrapText="1"/>
    </xf>
    <xf numFmtId="172" fontId="18" fillId="0" borderId="73" xfId="0" applyNumberFormat="1" applyFont="1" applyBorder="1" applyAlignment="1">
      <alignment horizontal="right" wrapText="1"/>
    </xf>
    <xf numFmtId="172" fontId="18" fillId="0" borderId="84" xfId="0" applyNumberFormat="1" applyFont="1" applyBorder="1" applyAlignment="1">
      <alignment horizontal="right" wrapText="1"/>
    </xf>
    <xf numFmtId="172" fontId="18" fillId="0" borderId="57" xfId="0" applyNumberFormat="1" applyFont="1" applyBorder="1" applyAlignment="1">
      <alignment horizontal="right" wrapText="1"/>
    </xf>
    <xf numFmtId="0" fontId="18" fillId="0" borderId="64" xfId="0" applyFont="1" applyBorder="1" applyAlignment="1">
      <alignment wrapText="1"/>
    </xf>
    <xf numFmtId="172" fontId="18" fillId="0" borderId="78" xfId="0" applyNumberFormat="1" applyFont="1" applyBorder="1" applyAlignment="1">
      <alignment horizontal="right" wrapText="1"/>
    </xf>
    <xf numFmtId="172" fontId="18" fillId="0" borderId="0" xfId="0" applyNumberFormat="1" applyFont="1" applyBorder="1" applyAlignment="1">
      <alignment horizontal="right" wrapText="1"/>
    </xf>
    <xf numFmtId="172" fontId="18" fillId="0" borderId="46" xfId="0" applyNumberFormat="1" applyFont="1" applyBorder="1" applyAlignment="1">
      <alignment horizontal="right" wrapText="1"/>
    </xf>
    <xf numFmtId="172" fontId="18" fillId="0" borderId="16" xfId="0" applyNumberFormat="1" applyFont="1" applyBorder="1" applyAlignment="1">
      <alignment horizontal="right" wrapText="1"/>
    </xf>
    <xf numFmtId="0" fontId="18" fillId="0" borderId="57" xfId="0" applyFont="1" applyBorder="1" applyAlignment="1">
      <alignment wrapText="1"/>
    </xf>
    <xf numFmtId="0" fontId="18" fillId="0" borderId="41" xfId="0" applyFont="1" applyBorder="1" applyAlignment="1">
      <alignment wrapText="1"/>
    </xf>
    <xf numFmtId="0" fontId="18" fillId="0" borderId="32" xfId="0" applyFont="1" applyBorder="1" applyAlignment="1">
      <alignment wrapText="1"/>
    </xf>
    <xf numFmtId="172" fontId="18" fillId="0" borderId="32" xfId="0" applyNumberFormat="1" applyFont="1" applyBorder="1" applyAlignment="1">
      <alignment horizontal="right" wrapText="1"/>
    </xf>
    <xf numFmtId="172" fontId="18" fillId="0" borderId="93" xfId="0" applyNumberFormat="1" applyFont="1" applyBorder="1" applyAlignment="1">
      <alignment horizontal="right" wrapText="1"/>
    </xf>
    <xf numFmtId="0" fontId="18" fillId="34" borderId="97" xfId="53" applyFont="1" applyFill="1" applyBorder="1" applyAlignment="1">
      <alignment horizontal="center" vertical="center" wrapText="1"/>
      <protection/>
    </xf>
    <xf numFmtId="0" fontId="18" fillId="34" borderId="64" xfId="53" applyFont="1" applyFill="1" applyBorder="1" applyAlignment="1">
      <alignment horizontal="center" vertical="center" wrapText="1"/>
      <protection/>
    </xf>
    <xf numFmtId="0" fontId="18" fillId="34" borderId="98" xfId="53" applyFont="1" applyFill="1" applyBorder="1" applyAlignment="1">
      <alignment horizontal="center" vertical="center" wrapText="1"/>
      <protection/>
    </xf>
    <xf numFmtId="0" fontId="18" fillId="34" borderId="77" xfId="53" applyFont="1" applyFill="1" applyBorder="1" applyAlignment="1">
      <alignment horizontal="center" vertical="center" wrapText="1"/>
      <protection/>
    </xf>
    <xf numFmtId="0" fontId="18" fillId="34" borderId="59" xfId="53" applyFont="1" applyFill="1" applyBorder="1" applyAlignment="1">
      <alignment horizontal="center" vertical="center" wrapText="1"/>
      <protection/>
    </xf>
    <xf numFmtId="0" fontId="18" fillId="34" borderId="74" xfId="53" applyFont="1" applyFill="1" applyBorder="1" applyAlignment="1">
      <alignment horizontal="center" vertical="center" wrapText="1"/>
      <protection/>
    </xf>
    <xf numFmtId="0" fontId="18" fillId="34" borderId="75" xfId="53" applyFont="1" applyFill="1" applyBorder="1" applyAlignment="1">
      <alignment horizontal="center" vertical="center" wrapText="1"/>
      <protection/>
    </xf>
    <xf numFmtId="0" fontId="18" fillId="34" borderId="89" xfId="53" applyFont="1" applyFill="1" applyBorder="1" applyAlignment="1">
      <alignment horizontal="center" vertical="center" wrapText="1"/>
      <protection/>
    </xf>
    <xf numFmtId="0" fontId="18" fillId="34" borderId="99" xfId="53" applyFont="1" applyFill="1" applyBorder="1" applyAlignment="1">
      <alignment horizontal="center" vertical="center" wrapText="1"/>
      <protection/>
    </xf>
    <xf numFmtId="0" fontId="18" fillId="34" borderId="65" xfId="53" applyFont="1" applyFill="1" applyBorder="1" applyAlignment="1">
      <alignment horizontal="center" vertical="center" wrapText="1"/>
      <protection/>
    </xf>
    <xf numFmtId="0" fontId="18" fillId="34" borderId="94" xfId="53" applyFont="1" applyFill="1" applyBorder="1" applyAlignment="1">
      <alignment horizontal="center" vertical="center" wrapText="1"/>
      <protection/>
    </xf>
    <xf numFmtId="0" fontId="18" fillId="34" borderId="57" xfId="53" applyFont="1" applyFill="1" applyBorder="1" applyAlignment="1">
      <alignment horizontal="center" vertical="center" wrapText="1"/>
      <protection/>
    </xf>
    <xf numFmtId="0" fontId="18" fillId="34" borderId="100" xfId="53" applyFont="1" applyFill="1" applyBorder="1" applyAlignment="1">
      <alignment horizontal="center" vertical="center" wrapText="1"/>
      <protection/>
    </xf>
    <xf numFmtId="0" fontId="18" fillId="0" borderId="62" xfId="53" applyFont="1" applyBorder="1" applyAlignment="1">
      <alignment wrapText="1"/>
      <protection/>
    </xf>
    <xf numFmtId="0" fontId="18" fillId="0" borderId="77" xfId="53" applyFont="1" applyBorder="1" applyAlignment="1">
      <alignment wrapText="1"/>
      <protection/>
    </xf>
    <xf numFmtId="172" fontId="18" fillId="0" borderId="77" xfId="53" applyNumberFormat="1" applyFont="1" applyBorder="1" applyAlignment="1">
      <alignment horizontal="right" wrapText="1"/>
      <protection/>
    </xf>
    <xf numFmtId="172" fontId="18" fillId="0" borderId="73" xfId="53" applyNumberFormat="1" applyFont="1" applyBorder="1" applyAlignment="1">
      <alignment horizontal="right" wrapText="1"/>
      <protection/>
    </xf>
    <xf numFmtId="172" fontId="18" fillId="0" borderId="84" xfId="53" applyNumberFormat="1" applyFont="1" applyBorder="1" applyAlignment="1">
      <alignment horizontal="right" wrapText="1"/>
      <protection/>
    </xf>
    <xf numFmtId="172" fontId="18" fillId="0" borderId="88" xfId="53" applyNumberFormat="1" applyFont="1" applyBorder="1" applyAlignment="1">
      <alignment horizontal="right" wrapText="1"/>
      <protection/>
    </xf>
    <xf numFmtId="0" fontId="18" fillId="34" borderId="58" xfId="53" applyFont="1" applyFill="1" applyBorder="1" applyAlignment="1">
      <alignment horizontal="center" vertical="center" wrapText="1"/>
      <protection/>
    </xf>
    <xf numFmtId="0" fontId="18" fillId="34" borderId="69" xfId="53" applyFont="1" applyFill="1" applyBorder="1" applyAlignment="1">
      <alignment horizontal="center" vertical="center" wrapText="1"/>
      <protection/>
    </xf>
    <xf numFmtId="0" fontId="18" fillId="34" borderId="76" xfId="53" applyFont="1" applyFill="1" applyBorder="1" applyAlignment="1">
      <alignment horizontal="center" vertical="center" wrapText="1"/>
      <protection/>
    </xf>
    <xf numFmtId="0" fontId="18" fillId="34" borderId="66" xfId="53" applyFont="1" applyFill="1" applyBorder="1" applyAlignment="1">
      <alignment horizontal="center" vertical="center" wrapText="1"/>
      <protection/>
    </xf>
    <xf numFmtId="172" fontId="18" fillId="0" borderId="46" xfId="53" applyNumberFormat="1" applyFont="1" applyBorder="1" applyAlignment="1">
      <alignment horizontal="right" wrapText="1"/>
      <protection/>
    </xf>
    <xf numFmtId="172" fontId="18" fillId="0" borderId="57" xfId="53" applyNumberFormat="1" applyFont="1" applyBorder="1" applyAlignment="1">
      <alignment horizontal="right" wrapText="1"/>
      <protection/>
    </xf>
    <xf numFmtId="0" fontId="64" fillId="0" borderId="0" xfId="0" applyFont="1" applyAlignment="1">
      <alignment/>
    </xf>
    <xf numFmtId="0" fontId="15" fillId="34" borderId="67" xfId="0" applyFont="1" applyFill="1" applyBorder="1" applyAlignment="1">
      <alignment horizontal="center" vertical="center" wrapText="1"/>
    </xf>
    <xf numFmtId="0" fontId="15" fillId="34" borderId="58" xfId="0" applyFont="1" applyFill="1" applyBorder="1" applyAlignment="1">
      <alignment horizontal="center" vertical="center" wrapText="1"/>
    </xf>
    <xf numFmtId="4" fontId="15" fillId="34" borderId="101" xfId="0" applyNumberFormat="1" applyFont="1" applyFill="1" applyBorder="1" applyAlignment="1">
      <alignment horizontal="center" vertical="center" wrapText="1"/>
    </xf>
    <xf numFmtId="3" fontId="15" fillId="34" borderId="77" xfId="0" applyNumberFormat="1" applyFont="1" applyFill="1" applyBorder="1" applyAlignment="1">
      <alignment horizontal="center" vertical="center" wrapText="1"/>
    </xf>
    <xf numFmtId="0" fontId="18" fillId="0" borderId="102" xfId="0" applyFont="1" applyBorder="1" applyAlignment="1">
      <alignment wrapText="1"/>
    </xf>
    <xf numFmtId="4" fontId="18" fillId="0" borderId="77" xfId="0" applyNumberFormat="1" applyFont="1" applyBorder="1" applyAlignment="1">
      <alignment wrapText="1"/>
    </xf>
    <xf numFmtId="0" fontId="18" fillId="0" borderId="59" xfId="0" applyFont="1" applyBorder="1" applyAlignment="1">
      <alignment wrapText="1"/>
    </xf>
    <xf numFmtId="0" fontId="18" fillId="0" borderId="67" xfId="0" applyFont="1" applyBorder="1" applyAlignment="1">
      <alignment wrapText="1"/>
    </xf>
    <xf numFmtId="172" fontId="18" fillId="0" borderId="58" xfId="0" applyNumberFormat="1" applyFont="1" applyBorder="1" applyAlignment="1">
      <alignment horizontal="right" wrapText="1"/>
    </xf>
    <xf numFmtId="0" fontId="18" fillId="0" borderId="68" xfId="0" applyFont="1" applyBorder="1" applyAlignment="1">
      <alignment wrapText="1"/>
    </xf>
    <xf numFmtId="172" fontId="18" fillId="0" borderId="63" xfId="0" applyNumberFormat="1" applyFont="1" applyBorder="1" applyAlignment="1">
      <alignment horizontal="right" wrapText="1"/>
    </xf>
    <xf numFmtId="0" fontId="18" fillId="0" borderId="103" xfId="0" applyFont="1" applyBorder="1" applyAlignment="1">
      <alignment wrapText="1"/>
    </xf>
    <xf numFmtId="172" fontId="18" fillId="0" borderId="104" xfId="0" applyNumberFormat="1" applyFont="1" applyBorder="1" applyAlignment="1">
      <alignment horizontal="right" wrapText="1"/>
    </xf>
    <xf numFmtId="172" fontId="18" fillId="0" borderId="99" xfId="0" applyNumberFormat="1" applyFont="1" applyBorder="1" applyAlignment="1">
      <alignment horizontal="right" wrapText="1"/>
    </xf>
    <xf numFmtId="172" fontId="18" fillId="0" borderId="71" xfId="0" applyNumberFormat="1" applyFont="1" applyBorder="1" applyAlignment="1">
      <alignment horizontal="right" wrapText="1"/>
    </xf>
    <xf numFmtId="0" fontId="18" fillId="0" borderId="105" xfId="0" applyFont="1" applyBorder="1" applyAlignment="1">
      <alignment/>
    </xf>
    <xf numFmtId="0" fontId="18" fillId="0" borderId="0" xfId="0" applyFont="1" applyBorder="1" applyAlignment="1">
      <alignment/>
    </xf>
    <xf numFmtId="0" fontId="15" fillId="34" borderId="77" xfId="0" applyFont="1" applyFill="1" applyBorder="1" applyAlignment="1">
      <alignment horizontal="center" vertical="center" wrapText="1"/>
    </xf>
    <xf numFmtId="0" fontId="15" fillId="34" borderId="62" xfId="0" applyFont="1" applyFill="1" applyBorder="1" applyAlignment="1">
      <alignment horizontal="center" vertical="center" wrapText="1"/>
    </xf>
    <xf numFmtId="175" fontId="15" fillId="34" borderId="58" xfId="0" applyNumberFormat="1" applyFont="1" applyFill="1" applyBorder="1" applyAlignment="1">
      <alignment horizontal="center" vertical="center" wrapText="1"/>
    </xf>
    <xf numFmtId="9" fontId="15" fillId="34" borderId="77" xfId="0" applyNumberFormat="1" applyFont="1" applyFill="1" applyBorder="1" applyAlignment="1">
      <alignment horizontal="center" vertical="center" wrapText="1"/>
    </xf>
    <xf numFmtId="9" fontId="15" fillId="34" borderId="58" xfId="0" applyNumberFormat="1" applyFont="1" applyFill="1" applyBorder="1" applyAlignment="1">
      <alignment horizontal="center" vertical="center" wrapText="1"/>
    </xf>
    <xf numFmtId="4" fontId="15" fillId="34" borderId="67" xfId="0" applyNumberFormat="1" applyFont="1" applyFill="1" applyBorder="1" applyAlignment="1">
      <alignment horizontal="center" vertical="center" wrapText="1"/>
    </xf>
    <xf numFmtId="4" fontId="15" fillId="34" borderId="58" xfId="0" applyNumberFormat="1" applyFont="1" applyFill="1" applyBorder="1" applyAlignment="1">
      <alignment horizontal="center" vertical="center" wrapText="1"/>
    </xf>
    <xf numFmtId="0" fontId="18" fillId="0" borderId="68" xfId="0" applyFont="1" applyFill="1" applyBorder="1" applyAlignment="1">
      <alignment wrapText="1"/>
    </xf>
    <xf numFmtId="0" fontId="18" fillId="0" borderId="106" xfId="0" applyFont="1" applyBorder="1" applyAlignment="1">
      <alignment wrapText="1"/>
    </xf>
    <xf numFmtId="9" fontId="15" fillId="34" borderId="67" xfId="0" applyNumberFormat="1" applyFont="1" applyFill="1" applyBorder="1" applyAlignment="1">
      <alignment horizontal="center" vertical="center" wrapText="1"/>
    </xf>
    <xf numFmtId="175" fontId="15" fillId="34" borderId="67" xfId="0" applyNumberFormat="1" applyFont="1" applyFill="1" applyBorder="1" applyAlignment="1">
      <alignment horizontal="center" vertical="center" wrapText="1"/>
    </xf>
    <xf numFmtId="0" fontId="15" fillId="34" borderId="57" xfId="0" applyFont="1" applyFill="1" applyBorder="1" applyAlignment="1">
      <alignment horizontal="center" vertical="center" wrapText="1"/>
    </xf>
    <xf numFmtId="0" fontId="18" fillId="0" borderId="62" xfId="0" applyFont="1" applyBorder="1" applyAlignment="1">
      <alignment vertical="center" wrapText="1"/>
    </xf>
    <xf numFmtId="3" fontId="15" fillId="34" borderId="67" xfId="0" applyNumberFormat="1" applyFont="1" applyFill="1" applyBorder="1" applyAlignment="1">
      <alignment horizontal="center" vertical="center" wrapText="1"/>
    </xf>
    <xf numFmtId="3" fontId="15" fillId="34" borderId="58" xfId="0" applyNumberFormat="1" applyFont="1" applyFill="1" applyBorder="1" applyAlignment="1">
      <alignment horizontal="center" vertical="center" wrapText="1"/>
    </xf>
    <xf numFmtId="0" fontId="18" fillId="0" borderId="62" xfId="0" applyFont="1" applyBorder="1" applyAlignment="1">
      <alignment horizontal="left" vertical="top" wrapText="1"/>
    </xf>
    <xf numFmtId="0" fontId="18" fillId="0" borderId="107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8" fillId="0" borderId="101" xfId="0" applyFont="1" applyBorder="1" applyAlignment="1">
      <alignment wrapText="1"/>
    </xf>
    <xf numFmtId="0" fontId="18" fillId="0" borderId="12" xfId="0" applyFont="1" applyFill="1" applyBorder="1" applyAlignment="1">
      <alignment horizontal="left" vertical="center" wrapText="1"/>
    </xf>
    <xf numFmtId="172" fontId="18" fillId="0" borderId="12" xfId="0" applyNumberFormat="1" applyFont="1" applyFill="1" applyBorder="1" applyAlignment="1">
      <alignment horizontal="right" vertical="center" wrapText="1"/>
    </xf>
    <xf numFmtId="16" fontId="15" fillId="33" borderId="12" xfId="0" applyNumberFormat="1" applyFont="1" applyFill="1" applyBorder="1" applyAlignment="1">
      <alignment horizontal="left" vertical="center" wrapText="1"/>
    </xf>
    <xf numFmtId="0" fontId="15" fillId="33" borderId="12" xfId="0" applyFont="1" applyFill="1" applyBorder="1" applyAlignment="1">
      <alignment horizontal="left" vertical="center" wrapText="1"/>
    </xf>
    <xf numFmtId="172" fontId="18" fillId="33" borderId="12" xfId="0" applyNumberFormat="1" applyFont="1" applyFill="1" applyBorder="1" applyAlignment="1">
      <alignment horizontal="right" vertical="center" wrapText="1"/>
    </xf>
    <xf numFmtId="172" fontId="18" fillId="0" borderId="12" xfId="0" applyNumberFormat="1" applyFont="1" applyBorder="1" applyAlignment="1">
      <alignment horizontal="right" vertical="center" wrapText="1"/>
    </xf>
    <xf numFmtId="172" fontId="18" fillId="0" borderId="0" xfId="0" applyNumberFormat="1" applyFont="1" applyBorder="1" applyAlignment="1">
      <alignment horizontal="left"/>
    </xf>
    <xf numFmtId="0" fontId="15" fillId="40" borderId="12" xfId="51" applyFont="1" applyFill="1" applyBorder="1" applyAlignment="1">
      <alignment horizontal="left" vertical="center" wrapText="1"/>
      <protection/>
    </xf>
    <xf numFmtId="0" fontId="15" fillId="40" borderId="12" xfId="51" applyFont="1" applyFill="1" applyBorder="1" applyAlignment="1">
      <alignment horizontal="center" vertical="center" wrapText="1"/>
      <protection/>
    </xf>
    <xf numFmtId="4" fontId="15" fillId="40" borderId="12" xfId="51" applyNumberFormat="1" applyFont="1" applyFill="1" applyBorder="1" applyAlignment="1">
      <alignment horizontal="center" vertical="center" wrapText="1"/>
      <protection/>
    </xf>
    <xf numFmtId="0" fontId="18" fillId="33" borderId="12" xfId="51" applyFont="1" applyFill="1" applyBorder="1" applyAlignment="1">
      <alignment horizontal="center" vertical="center" wrapText="1"/>
      <protection/>
    </xf>
    <xf numFmtId="0" fontId="18" fillId="0" borderId="12" xfId="51" applyFont="1" applyBorder="1" applyAlignment="1">
      <alignment horizontal="center" vertical="center" wrapText="1"/>
      <protection/>
    </xf>
    <xf numFmtId="172" fontId="18" fillId="0" borderId="12" xfId="51" applyNumberFormat="1" applyFont="1" applyBorder="1" applyAlignment="1">
      <alignment horizontal="right" vertical="center" wrapText="1"/>
      <protection/>
    </xf>
    <xf numFmtId="0" fontId="18" fillId="33" borderId="12" xfId="51" applyFont="1" applyFill="1" applyBorder="1" applyAlignment="1">
      <alignment wrapText="1"/>
      <protection/>
    </xf>
    <xf numFmtId="172" fontId="18" fillId="0" borderId="12" xfId="67" applyNumberFormat="1" applyFont="1" applyBorder="1" applyAlignment="1">
      <alignment horizontal="right" vertical="center" wrapText="1"/>
    </xf>
    <xf numFmtId="4" fontId="18" fillId="0" borderId="12" xfId="51" applyNumberFormat="1" applyFont="1" applyBorder="1" applyAlignment="1">
      <alignment horizontal="center" vertical="center" wrapText="1"/>
      <protection/>
    </xf>
    <xf numFmtId="0" fontId="18" fillId="33" borderId="12" xfId="52" applyFont="1" applyFill="1" applyBorder="1" applyAlignment="1">
      <alignment wrapText="1"/>
      <protection/>
    </xf>
    <xf numFmtId="0" fontId="18" fillId="0" borderId="12" xfId="52" applyFont="1" applyBorder="1" applyAlignment="1">
      <alignment horizontal="center" vertical="center" wrapText="1"/>
      <protection/>
    </xf>
    <xf numFmtId="4" fontId="18" fillId="0" borderId="12" xfId="52" applyNumberFormat="1" applyFont="1" applyBorder="1" applyAlignment="1">
      <alignment horizontal="center" vertical="center" wrapText="1"/>
      <protection/>
    </xf>
    <xf numFmtId="172" fontId="18" fillId="0" borderId="12" xfId="52" applyNumberFormat="1" applyFont="1" applyBorder="1" applyAlignment="1">
      <alignment horizontal="right" vertical="center" wrapText="1"/>
      <protection/>
    </xf>
    <xf numFmtId="0" fontId="18" fillId="33" borderId="14" xfId="52" applyFont="1" applyFill="1" applyBorder="1" applyAlignment="1">
      <alignment wrapText="1"/>
      <protection/>
    </xf>
    <xf numFmtId="0" fontId="18" fillId="0" borderId="14" xfId="52" applyFont="1" applyBorder="1" applyAlignment="1">
      <alignment wrapText="1"/>
      <protection/>
    </xf>
    <xf numFmtId="0" fontId="18" fillId="0" borderId="14" xfId="52" applyFont="1" applyBorder="1" applyAlignment="1">
      <alignment vertical="center" wrapText="1"/>
      <protection/>
    </xf>
    <xf numFmtId="0" fontId="18" fillId="0" borderId="12" xfId="52" applyFont="1" applyBorder="1" applyAlignment="1">
      <alignment vertical="center" wrapText="1"/>
      <protection/>
    </xf>
    <xf numFmtId="0" fontId="15" fillId="40" borderId="67" xfId="0" applyFont="1" applyFill="1" applyBorder="1" applyAlignment="1">
      <alignment horizontal="left" vertical="center" wrapText="1"/>
    </xf>
    <xf numFmtId="0" fontId="15" fillId="34" borderId="12" xfId="51" applyFont="1" applyFill="1" applyBorder="1" applyAlignment="1">
      <alignment vertical="top" wrapText="1"/>
      <protection/>
    </xf>
    <xf numFmtId="0" fontId="18" fillId="0" borderId="0" xfId="0" applyFont="1" applyAlignment="1">
      <alignment wrapText="1"/>
    </xf>
    <xf numFmtId="0" fontId="18" fillId="0" borderId="14" xfId="0" applyFont="1" applyBorder="1" applyAlignment="1">
      <alignment wrapText="1"/>
    </xf>
    <xf numFmtId="172" fontId="18" fillId="0" borderId="14" xfId="51" applyNumberFormat="1" applyFont="1" applyBorder="1" applyAlignment="1">
      <alignment horizontal="right" vertical="center" wrapText="1"/>
      <protection/>
    </xf>
    <xf numFmtId="172" fontId="15" fillId="42" borderId="32" xfId="0" applyNumberFormat="1" applyFont="1" applyFill="1" applyBorder="1" applyAlignment="1">
      <alignment vertical="center" wrapText="1"/>
    </xf>
    <xf numFmtId="0" fontId="18" fillId="0" borderId="0" xfId="0" applyFont="1" applyAlignment="1">
      <alignment horizontal="right"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15" fillId="32" borderId="0" xfId="0" applyFont="1" applyFill="1" applyAlignment="1">
      <alignment/>
    </xf>
    <xf numFmtId="0" fontId="18" fillId="32" borderId="0" xfId="0" applyFont="1" applyFill="1" applyAlignment="1">
      <alignment/>
    </xf>
    <xf numFmtId="0" fontId="15" fillId="38" borderId="62" xfId="0" applyFont="1" applyFill="1" applyBorder="1" applyAlignment="1">
      <alignment horizontal="center" vertical="center" wrapText="1"/>
    </xf>
    <xf numFmtId="0" fontId="15" fillId="34" borderId="82" xfId="0" applyFont="1" applyFill="1" applyBorder="1" applyAlignment="1">
      <alignment horizontal="center" vertical="top" wrapText="1"/>
    </xf>
    <xf numFmtId="0" fontId="15" fillId="34" borderId="108" xfId="0" applyFont="1" applyFill="1" applyBorder="1" applyAlignment="1">
      <alignment horizontal="center" vertical="top" wrapText="1"/>
    </xf>
    <xf numFmtId="0" fontId="15" fillId="34" borderId="70" xfId="0" applyFont="1" applyFill="1" applyBorder="1" applyAlignment="1">
      <alignment horizontal="left" vertical="top" wrapText="1"/>
    </xf>
    <xf numFmtId="0" fontId="15" fillId="34" borderId="109" xfId="0" applyFont="1" applyFill="1" applyBorder="1" applyAlignment="1">
      <alignment horizontal="left" vertical="top" wrapText="1"/>
    </xf>
    <xf numFmtId="0" fontId="15" fillId="34" borderId="109" xfId="0" applyFont="1" applyFill="1" applyBorder="1" applyAlignment="1">
      <alignment vertical="top" wrapText="1"/>
    </xf>
    <xf numFmtId="0" fontId="15" fillId="34" borderId="81" xfId="0" applyFont="1" applyFill="1" applyBorder="1" applyAlignment="1">
      <alignment horizontal="left" vertical="center" wrapText="1"/>
    </xf>
    <xf numFmtId="0" fontId="15" fillId="34" borderId="57" xfId="0" applyFont="1" applyFill="1" applyBorder="1" applyAlignment="1">
      <alignment horizontal="left" vertical="center" wrapText="1"/>
    </xf>
    <xf numFmtId="0" fontId="15" fillId="34" borderId="65" xfId="0" applyFont="1" applyFill="1" applyBorder="1" applyAlignment="1">
      <alignment horizontal="left" vertical="top" wrapText="1"/>
    </xf>
    <xf numFmtId="0" fontId="15" fillId="34" borderId="57" xfId="0" applyFont="1" applyFill="1" applyBorder="1" applyAlignment="1">
      <alignment horizontal="left" vertical="top" wrapText="1"/>
    </xf>
    <xf numFmtId="0" fontId="15" fillId="34" borderId="65" xfId="0" applyFont="1" applyFill="1" applyBorder="1" applyAlignment="1">
      <alignment vertical="center" wrapText="1"/>
    </xf>
    <xf numFmtId="16" fontId="15" fillId="34" borderId="65" xfId="0" applyNumberFormat="1" applyFont="1" applyFill="1" applyBorder="1" applyAlignment="1">
      <alignment horizontal="left" vertical="center" wrapText="1"/>
    </xf>
    <xf numFmtId="0" fontId="15" fillId="34" borderId="110" xfId="0" applyFont="1" applyFill="1" applyBorder="1" applyAlignment="1">
      <alignment horizontal="left" vertical="center" wrapText="1"/>
    </xf>
    <xf numFmtId="0" fontId="15" fillId="34" borderId="57" xfId="0" applyFont="1" applyFill="1" applyBorder="1" applyAlignment="1">
      <alignment vertical="center" wrapText="1"/>
    </xf>
    <xf numFmtId="0" fontId="15" fillId="34" borderId="65" xfId="0" applyFont="1" applyFill="1" applyBorder="1" applyAlignment="1">
      <alignment horizontal="left" vertical="center" wrapText="1"/>
    </xf>
    <xf numFmtId="0" fontId="15" fillId="34" borderId="76" xfId="0" applyFont="1" applyFill="1" applyBorder="1" applyAlignment="1">
      <alignment horizontal="left" vertical="center" wrapText="1"/>
    </xf>
    <xf numFmtId="0" fontId="15" fillId="34" borderId="66" xfId="0" applyFont="1" applyFill="1" applyBorder="1" applyAlignment="1">
      <alignment horizontal="left" vertical="center" wrapText="1"/>
    </xf>
    <xf numFmtId="0" fontId="15" fillId="34" borderId="76" xfId="0" applyFont="1" applyFill="1" applyBorder="1" applyAlignment="1">
      <alignment vertical="center" wrapText="1"/>
    </xf>
    <xf numFmtId="3" fontId="15" fillId="38" borderId="58" xfId="0" applyNumberFormat="1" applyFont="1" applyFill="1" applyBorder="1" applyAlignment="1">
      <alignment horizontal="center" vertical="center" wrapText="1"/>
    </xf>
    <xf numFmtId="10" fontId="15" fillId="38" borderId="58" xfId="0" applyNumberFormat="1" applyFont="1" applyFill="1" applyBorder="1" applyAlignment="1">
      <alignment horizontal="center" vertical="center" wrapText="1"/>
    </xf>
    <xf numFmtId="9" fontId="15" fillId="38" borderId="58" xfId="0" applyNumberFormat="1" applyFont="1" applyFill="1" applyBorder="1" applyAlignment="1">
      <alignment horizontal="center" vertical="center" wrapText="1"/>
    </xf>
    <xf numFmtId="0" fontId="15" fillId="34" borderId="80" xfId="0" applyFont="1" applyFill="1" applyBorder="1" applyAlignment="1">
      <alignment horizontal="center" vertical="top" wrapText="1"/>
    </xf>
    <xf numFmtId="0" fontId="15" fillId="34" borderId="81" xfId="0" applyFont="1" applyFill="1" applyBorder="1" applyAlignment="1">
      <alignment horizontal="center" vertical="top" wrapText="1"/>
    </xf>
    <xf numFmtId="0" fontId="18" fillId="0" borderId="77" xfId="0" applyFont="1" applyBorder="1" applyAlignment="1">
      <alignment horizontal="center" vertical="center" wrapText="1"/>
    </xf>
    <xf numFmtId="0" fontId="15" fillId="34" borderId="97" xfId="0" applyFont="1" applyFill="1" applyBorder="1" applyAlignment="1">
      <alignment vertical="center" wrapText="1"/>
    </xf>
    <xf numFmtId="0" fontId="15" fillId="34" borderId="64" xfId="0" applyFont="1" applyFill="1" applyBorder="1" applyAlignment="1">
      <alignment vertical="center" wrapText="1"/>
    </xf>
    <xf numFmtId="0" fontId="15" fillId="34" borderId="14" xfId="51" applyFont="1" applyFill="1" applyBorder="1" applyAlignment="1">
      <alignment horizontal="center" vertical="top" wrapText="1"/>
      <protection/>
    </xf>
    <xf numFmtId="172" fontId="42" fillId="0" borderId="58" xfId="0" applyNumberFormat="1" applyFont="1" applyBorder="1" applyAlignment="1">
      <alignment horizontal="right" vertical="center"/>
    </xf>
    <xf numFmtId="3" fontId="15" fillId="38" borderId="62" xfId="0" applyNumberFormat="1" applyFont="1" applyFill="1" applyBorder="1" applyAlignment="1">
      <alignment horizontal="center" vertical="center" wrapText="1"/>
    </xf>
    <xf numFmtId="4" fontId="15" fillId="40" borderId="0" xfId="51" applyNumberFormat="1" applyFont="1" applyFill="1" applyBorder="1" applyAlignment="1">
      <alignment horizontal="center" vertical="center" wrapText="1"/>
      <protection/>
    </xf>
    <xf numFmtId="9" fontId="15" fillId="38" borderId="69" xfId="0" applyNumberFormat="1" applyFont="1" applyFill="1" applyBorder="1" applyAlignment="1">
      <alignment horizontal="center" vertical="center" wrapText="1"/>
    </xf>
    <xf numFmtId="9" fontId="15" fillId="38" borderId="57" xfId="0" applyNumberFormat="1" applyFont="1" applyFill="1" applyBorder="1" applyAlignment="1">
      <alignment horizontal="center" vertical="center" wrapText="1"/>
    </xf>
    <xf numFmtId="3" fontId="15" fillId="38" borderId="59" xfId="0" applyNumberFormat="1" applyFont="1" applyFill="1" applyBorder="1" applyAlignment="1">
      <alignment horizontal="center" vertical="center" wrapText="1"/>
    </xf>
    <xf numFmtId="3" fontId="15" fillId="38" borderId="88" xfId="0" applyNumberFormat="1" applyFont="1" applyFill="1" applyBorder="1" applyAlignment="1">
      <alignment horizontal="center" vertical="center" wrapText="1"/>
    </xf>
    <xf numFmtId="0" fontId="18" fillId="43" borderId="65" xfId="0" applyFont="1" applyFill="1" applyBorder="1" applyAlignment="1">
      <alignment horizontal="center" vertical="center" wrapText="1"/>
    </xf>
    <xf numFmtId="0" fontId="18" fillId="43" borderId="76" xfId="0" applyFont="1" applyFill="1" applyBorder="1" applyAlignment="1">
      <alignment horizontal="center" vertical="center" wrapText="1"/>
    </xf>
    <xf numFmtId="0" fontId="18" fillId="43" borderId="66" xfId="0" applyFont="1" applyFill="1" applyBorder="1" applyAlignment="1">
      <alignment horizontal="center" vertical="center" wrapText="1"/>
    </xf>
    <xf numFmtId="0" fontId="15" fillId="34" borderId="69" xfId="0" applyFont="1" applyFill="1" applyBorder="1" applyAlignment="1">
      <alignment horizontal="center" vertical="center" wrapText="1"/>
    </xf>
    <xf numFmtId="172" fontId="15" fillId="34" borderId="14" xfId="67" applyNumberFormat="1" applyFont="1" applyFill="1" applyBorder="1" applyAlignment="1">
      <alignment horizontal="right" vertical="center" wrapText="1"/>
    </xf>
    <xf numFmtId="172" fontId="15" fillId="34" borderId="12" xfId="67" applyNumberFormat="1" applyFont="1" applyFill="1" applyBorder="1" applyAlignment="1">
      <alignment horizontal="right" vertical="center" wrapText="1"/>
    </xf>
    <xf numFmtId="0" fontId="15" fillId="40" borderId="99" xfId="0" applyFont="1" applyFill="1" applyBorder="1" applyAlignment="1">
      <alignment horizontal="left" vertical="center" wrapText="1"/>
    </xf>
    <xf numFmtId="0" fontId="15" fillId="34" borderId="75" xfId="0" applyFont="1" applyFill="1" applyBorder="1" applyAlignment="1">
      <alignment horizontal="center" vertical="top" wrapText="1"/>
    </xf>
    <xf numFmtId="0" fontId="15" fillId="34" borderId="89" xfId="0" applyFont="1" applyFill="1" applyBorder="1" applyAlignment="1">
      <alignment horizontal="center" vertical="center" wrapText="1"/>
    </xf>
    <xf numFmtId="0" fontId="15" fillId="34" borderId="111" xfId="0" applyFont="1" applyFill="1" applyBorder="1" applyAlignment="1">
      <alignment horizontal="center" vertical="center" wrapText="1"/>
    </xf>
    <xf numFmtId="0" fontId="15" fillId="34" borderId="63" xfId="0" applyFont="1" applyFill="1" applyBorder="1" applyAlignment="1">
      <alignment horizontal="center" vertical="center" wrapText="1"/>
    </xf>
    <xf numFmtId="0" fontId="15" fillId="34" borderId="111" xfId="0" applyFont="1" applyFill="1" applyBorder="1" applyAlignment="1">
      <alignment horizontal="center" vertical="top" wrapText="1"/>
    </xf>
    <xf numFmtId="0" fontId="15" fillId="34" borderId="63" xfId="0" applyFont="1" applyFill="1" applyBorder="1" applyAlignment="1">
      <alignment horizontal="center" vertical="top" wrapText="1"/>
    </xf>
    <xf numFmtId="0" fontId="15" fillId="34" borderId="74" xfId="0" applyFont="1" applyFill="1" applyBorder="1" applyAlignment="1">
      <alignment horizontal="left" vertical="top" wrapText="1"/>
    </xf>
    <xf numFmtId="0" fontId="15" fillId="34" borderId="89" xfId="0" applyFont="1" applyFill="1" applyBorder="1" applyAlignment="1">
      <alignment horizontal="left" vertical="center" wrapText="1"/>
    </xf>
    <xf numFmtId="0" fontId="15" fillId="34" borderId="14" xfId="51" applyFont="1" applyFill="1" applyBorder="1" applyAlignment="1">
      <alignment horizontal="center" vertical="center" wrapText="1"/>
      <protection/>
    </xf>
    <xf numFmtId="0" fontId="15" fillId="40" borderId="16" xfId="51" applyFont="1" applyFill="1" applyBorder="1" applyAlignment="1">
      <alignment horizontal="center" vertical="center" wrapText="1"/>
      <protection/>
    </xf>
    <xf numFmtId="4" fontId="15" fillId="40" borderId="16" xfId="51" applyNumberFormat="1" applyFont="1" applyFill="1" applyBorder="1" applyAlignment="1">
      <alignment horizontal="center" vertical="center" wrapText="1"/>
      <protection/>
    </xf>
    <xf numFmtId="0" fontId="15" fillId="34" borderId="12" xfId="51" applyFont="1" applyFill="1" applyBorder="1" applyAlignment="1">
      <alignment horizontal="center" vertical="center" wrapText="1"/>
      <protection/>
    </xf>
    <xf numFmtId="3" fontId="15" fillId="34" borderId="12" xfId="51" applyNumberFormat="1" applyFont="1" applyFill="1" applyBorder="1" applyAlignment="1">
      <alignment horizontal="center" vertical="center" wrapText="1"/>
      <protection/>
    </xf>
    <xf numFmtId="0" fontId="15" fillId="34" borderId="12" xfId="51" applyFont="1" applyFill="1" applyBorder="1" applyAlignment="1">
      <alignment horizontal="center" vertical="top" wrapText="1"/>
      <protection/>
    </xf>
    <xf numFmtId="0" fontId="15" fillId="34" borderId="57" xfId="0" applyFont="1" applyFill="1" applyBorder="1" applyAlignment="1">
      <alignment horizontal="center" vertical="top" wrapText="1"/>
    </xf>
    <xf numFmtId="3" fontId="15" fillId="34" borderId="80" xfId="0" applyNumberFormat="1" applyFont="1" applyFill="1" applyBorder="1" applyAlignment="1">
      <alignment horizontal="center" vertical="top" wrapText="1"/>
    </xf>
    <xf numFmtId="3" fontId="15" fillId="34" borderId="81" xfId="0" applyNumberFormat="1" applyFont="1" applyFill="1" applyBorder="1" applyAlignment="1">
      <alignment horizontal="center" vertical="top" wrapText="1"/>
    </xf>
    <xf numFmtId="3" fontId="15" fillId="34" borderId="57" xfId="0" applyNumberFormat="1" applyFont="1" applyFill="1" applyBorder="1" applyAlignment="1">
      <alignment horizontal="center" vertical="top" wrapText="1"/>
    </xf>
    <xf numFmtId="172" fontId="15" fillId="34" borderId="65" xfId="0" applyNumberFormat="1" applyFont="1" applyFill="1" applyBorder="1" applyAlignment="1">
      <alignment horizontal="right" vertical="center" wrapText="1"/>
    </xf>
    <xf numFmtId="172" fontId="15" fillId="34" borderId="76" xfId="0" applyNumberFormat="1" applyFont="1" applyFill="1" applyBorder="1" applyAlignment="1">
      <alignment horizontal="right" vertical="center" wrapText="1"/>
    </xf>
    <xf numFmtId="172" fontId="15" fillId="34" borderId="66" xfId="0" applyNumberFormat="1" applyFont="1" applyFill="1" applyBorder="1" applyAlignment="1">
      <alignment horizontal="right" vertical="center" wrapText="1"/>
    </xf>
    <xf numFmtId="172" fontId="15" fillId="34" borderId="86" xfId="0" applyNumberFormat="1" applyFont="1" applyFill="1" applyBorder="1" applyAlignment="1">
      <alignment horizontal="right" vertical="center" wrapText="1"/>
    </xf>
    <xf numFmtId="172" fontId="15" fillId="34" borderId="57" xfId="0" applyNumberFormat="1" applyFont="1" applyFill="1" applyBorder="1" applyAlignment="1">
      <alignment horizontal="right" vertical="center" wrapText="1"/>
    </xf>
    <xf numFmtId="172" fontId="15" fillId="34" borderId="86" xfId="0" applyNumberFormat="1" applyFont="1" applyFill="1" applyBorder="1" applyAlignment="1">
      <alignment horizontal="right" vertical="top" wrapText="1"/>
    </xf>
    <xf numFmtId="172" fontId="15" fillId="34" borderId="57" xfId="0" applyNumberFormat="1" applyFont="1" applyFill="1" applyBorder="1" applyAlignment="1">
      <alignment horizontal="right" vertical="top" wrapText="1"/>
    </xf>
    <xf numFmtId="0" fontId="18" fillId="0" borderId="73" xfId="54" applyFont="1" applyBorder="1" applyAlignment="1">
      <alignment wrapText="1"/>
      <protection/>
    </xf>
    <xf numFmtId="0" fontId="18" fillId="0" borderId="78" xfId="54" applyFont="1" applyFill="1" applyBorder="1" applyAlignment="1">
      <alignment wrapText="1"/>
      <protection/>
    </xf>
    <xf numFmtId="10" fontId="18" fillId="34" borderId="57" xfId="54" applyNumberFormat="1" applyFont="1" applyFill="1" applyBorder="1" applyAlignment="1">
      <alignment horizontal="center" vertical="center" wrapText="1"/>
      <protection/>
    </xf>
    <xf numFmtId="0" fontId="18" fillId="34" borderId="59" xfId="54" applyFont="1" applyFill="1" applyBorder="1" applyAlignment="1">
      <alignment horizontal="center" vertical="center" wrapText="1"/>
      <protection/>
    </xf>
    <xf numFmtId="3" fontId="18" fillId="34" borderId="57" xfId="54" applyNumberFormat="1" applyFont="1" applyFill="1" applyBorder="1" applyAlignment="1">
      <alignment horizontal="center" vertical="center" wrapText="1"/>
      <protection/>
    </xf>
    <xf numFmtId="0" fontId="18" fillId="34" borderId="69" xfId="0" applyFont="1" applyFill="1" applyBorder="1" applyAlignment="1">
      <alignment horizontal="center" vertical="center" wrapText="1"/>
    </xf>
    <xf numFmtId="0" fontId="18" fillId="0" borderId="78" xfId="53" applyFont="1" applyBorder="1" applyAlignment="1">
      <alignment wrapText="1"/>
      <protection/>
    </xf>
    <xf numFmtId="0" fontId="15" fillId="34" borderId="74" xfId="0" applyFont="1" applyFill="1" applyBorder="1" applyAlignment="1">
      <alignment horizontal="center" vertical="center" wrapText="1"/>
    </xf>
    <xf numFmtId="0" fontId="15" fillId="34" borderId="75" xfId="0" applyFont="1" applyFill="1" applyBorder="1" applyAlignment="1">
      <alignment horizontal="center" vertical="center" wrapText="1"/>
    </xf>
    <xf numFmtId="4" fontId="15" fillId="34" borderId="57" xfId="0" applyNumberFormat="1" applyFont="1" applyFill="1" applyBorder="1" applyAlignment="1">
      <alignment horizontal="center" vertical="center" wrapText="1"/>
    </xf>
    <xf numFmtId="3" fontId="15" fillId="34" borderId="73" xfId="0" applyNumberFormat="1" applyFont="1" applyFill="1" applyBorder="1" applyAlignment="1">
      <alignment horizontal="center" vertical="center" wrapText="1"/>
    </xf>
    <xf numFmtId="3" fontId="15" fillId="34" borderId="57" xfId="0" applyNumberFormat="1" applyFont="1" applyFill="1" applyBorder="1" applyAlignment="1">
      <alignment horizontal="center" vertical="center" wrapText="1"/>
    </xf>
    <xf numFmtId="0" fontId="15" fillId="34" borderId="112" xfId="0" applyFont="1" applyFill="1" applyBorder="1" applyAlignment="1">
      <alignment vertical="center" wrapText="1"/>
    </xf>
    <xf numFmtId="0" fontId="15" fillId="34" borderId="75" xfId="0" applyFont="1" applyFill="1" applyBorder="1" applyAlignment="1">
      <alignment vertical="center" wrapText="1"/>
    </xf>
    <xf numFmtId="0" fontId="15" fillId="34" borderId="100" xfId="0" applyFont="1" applyFill="1" applyBorder="1" applyAlignment="1">
      <alignment vertical="center" wrapText="1"/>
    </xf>
    <xf numFmtId="175" fontId="15" fillId="34" borderId="69" xfId="0" applyNumberFormat="1" applyFont="1" applyFill="1" applyBorder="1" applyAlignment="1">
      <alignment horizontal="center" vertical="center" wrapText="1"/>
    </xf>
    <xf numFmtId="175" fontId="15" fillId="34" borderId="57" xfId="0" applyNumberFormat="1" applyFont="1" applyFill="1" applyBorder="1" applyAlignment="1">
      <alignment horizontal="center" vertical="center" wrapText="1"/>
    </xf>
    <xf numFmtId="9" fontId="15" fillId="34" borderId="69" xfId="0" applyNumberFormat="1" applyFont="1" applyFill="1" applyBorder="1" applyAlignment="1">
      <alignment horizontal="center" vertical="center" wrapText="1"/>
    </xf>
    <xf numFmtId="9" fontId="15" fillId="34" borderId="57" xfId="0" applyNumberFormat="1" applyFont="1" applyFill="1" applyBorder="1" applyAlignment="1">
      <alignment horizontal="center" vertical="center" wrapText="1"/>
    </xf>
    <xf numFmtId="3" fontId="15" fillId="34" borderId="111" xfId="0" applyNumberFormat="1" applyFont="1" applyFill="1" applyBorder="1" applyAlignment="1">
      <alignment horizontal="center" vertical="center" wrapText="1"/>
    </xf>
    <xf numFmtId="3" fontId="15" fillId="34" borderId="63" xfId="0" applyNumberFormat="1" applyFont="1" applyFill="1" applyBorder="1" applyAlignment="1">
      <alignment horizontal="center" vertical="center" wrapText="1"/>
    </xf>
    <xf numFmtId="4" fontId="15" fillId="34" borderId="69" xfId="0" applyNumberFormat="1" applyFont="1" applyFill="1" applyBorder="1" applyAlignment="1">
      <alignment horizontal="center" vertical="center" wrapText="1"/>
    </xf>
    <xf numFmtId="3" fontId="15" fillId="34" borderId="69" xfId="0" applyNumberFormat="1" applyFont="1" applyFill="1" applyBorder="1" applyAlignment="1">
      <alignment horizontal="center" vertical="center" wrapText="1"/>
    </xf>
    <xf numFmtId="0" fontId="15" fillId="34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3" fontId="15" fillId="34" borderId="12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2" fillId="0" borderId="0" xfId="0" applyFont="1" applyAlignment="1">
      <alignment/>
    </xf>
    <xf numFmtId="0" fontId="43" fillId="13" borderId="23" xfId="0" applyFont="1" applyFill="1" applyBorder="1" applyAlignment="1">
      <alignment horizontal="center" vertical="center" wrapText="1"/>
    </xf>
    <xf numFmtId="0" fontId="43" fillId="13" borderId="15" xfId="0" applyFont="1" applyFill="1" applyBorder="1" applyAlignment="1">
      <alignment horizontal="center" vertical="center" wrapText="1"/>
    </xf>
    <xf numFmtId="0" fontId="43" fillId="34" borderId="30" xfId="0" applyFont="1" applyFill="1" applyBorder="1" applyAlignment="1">
      <alignment horizontal="center" vertical="center" wrapText="1"/>
    </xf>
    <xf numFmtId="0" fontId="42" fillId="0" borderId="113" xfId="0" applyFont="1" applyBorder="1" applyAlignment="1">
      <alignment/>
    </xf>
    <xf numFmtId="0" fontId="43" fillId="34" borderId="51" xfId="0" applyFont="1" applyFill="1" applyBorder="1" applyAlignment="1">
      <alignment/>
    </xf>
    <xf numFmtId="0" fontId="43" fillId="34" borderId="37" xfId="0" applyFont="1" applyFill="1" applyBorder="1" applyAlignment="1">
      <alignment/>
    </xf>
    <xf numFmtId="0" fontId="42" fillId="34" borderId="51" xfId="0" applyFont="1" applyFill="1" applyBorder="1" applyAlignment="1">
      <alignment/>
    </xf>
    <xf numFmtId="0" fontId="42" fillId="0" borderId="45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13" xfId="0" applyFont="1" applyBorder="1" applyAlignment="1">
      <alignment vertical="center" wrapText="1"/>
    </xf>
    <xf numFmtId="0" fontId="42" fillId="0" borderId="114" xfId="0" applyFont="1" applyBorder="1" applyAlignment="1">
      <alignment vertical="center" wrapText="1"/>
    </xf>
    <xf numFmtId="0" fontId="42" fillId="0" borderId="113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12" xfId="0" applyFont="1" applyBorder="1" applyAlignment="1">
      <alignment vertical="center" wrapText="1"/>
    </xf>
    <xf numFmtId="0" fontId="42" fillId="0" borderId="12" xfId="0" applyFont="1" applyBorder="1" applyAlignment="1">
      <alignment wrapText="1"/>
    </xf>
    <xf numFmtId="4" fontId="45" fillId="0" borderId="44" xfId="0" applyNumberFormat="1" applyFont="1" applyBorder="1" applyAlignment="1">
      <alignment horizontal="right" vertical="center"/>
    </xf>
    <xf numFmtId="4" fontId="45" fillId="0" borderId="45" xfId="0" applyNumberFormat="1" applyFont="1" applyBorder="1" applyAlignment="1">
      <alignment horizontal="right" vertical="center"/>
    </xf>
    <xf numFmtId="172" fontId="43" fillId="34" borderId="30" xfId="0" applyNumberFormat="1" applyFont="1" applyFill="1" applyBorder="1" applyAlignment="1">
      <alignment/>
    </xf>
    <xf numFmtId="0" fontId="42" fillId="0" borderId="38" xfId="0" applyFont="1" applyBorder="1" applyAlignment="1">
      <alignment horizontal="center" vertical="center"/>
    </xf>
    <xf numFmtId="0" fontId="42" fillId="0" borderId="38" xfId="0" applyFont="1" applyBorder="1" applyAlignment="1">
      <alignment vertical="center"/>
    </xf>
    <xf numFmtId="0" fontId="42" fillId="0" borderId="38" xfId="0" applyFont="1" applyBorder="1" applyAlignment="1">
      <alignment vertical="center" wrapText="1"/>
    </xf>
    <xf numFmtId="0" fontId="42" fillId="0" borderId="34" xfId="0" applyFont="1" applyBorder="1" applyAlignment="1">
      <alignment vertical="center"/>
    </xf>
    <xf numFmtId="172" fontId="42" fillId="0" borderId="47" xfId="0" applyNumberFormat="1" applyFont="1" applyBorder="1" applyAlignment="1">
      <alignment vertical="center"/>
    </xf>
    <xf numFmtId="172" fontId="42" fillId="0" borderId="12" xfId="0" applyNumberFormat="1" applyFont="1" applyBorder="1" applyAlignment="1">
      <alignment vertical="center"/>
    </xf>
    <xf numFmtId="172" fontId="42" fillId="0" borderId="11" xfId="0" applyNumberFormat="1" applyFont="1" applyBorder="1" applyAlignment="1">
      <alignment vertical="center"/>
    </xf>
    <xf numFmtId="172" fontId="43" fillId="0" borderId="25" xfId="0" applyNumberFormat="1" applyFont="1" applyBorder="1" applyAlignment="1">
      <alignment vertical="center"/>
    </xf>
    <xf numFmtId="0" fontId="42" fillId="0" borderId="34" xfId="0" applyFont="1" applyBorder="1" applyAlignment="1">
      <alignment horizontal="center" vertical="center"/>
    </xf>
    <xf numFmtId="4" fontId="43" fillId="34" borderId="51" xfId="0" applyNumberFormat="1" applyFont="1" applyFill="1" applyBorder="1" applyAlignment="1">
      <alignment/>
    </xf>
    <xf numFmtId="0" fontId="18" fillId="0" borderId="112" xfId="0" applyFont="1" applyBorder="1" applyAlignment="1">
      <alignment wrapText="1"/>
    </xf>
    <xf numFmtId="0" fontId="18" fillId="0" borderId="115" xfId="0" applyFont="1" applyBorder="1" applyAlignment="1">
      <alignment wrapText="1"/>
    </xf>
    <xf numFmtId="4" fontId="15" fillId="34" borderId="59" xfId="0" applyNumberFormat="1" applyFont="1" applyFill="1" applyBorder="1" applyAlignment="1">
      <alignment horizontal="center" vertical="center" wrapText="1"/>
    </xf>
    <xf numFmtId="0" fontId="18" fillId="0" borderId="73" xfId="0" applyFont="1" applyBorder="1" applyAlignment="1">
      <alignment wrapText="1"/>
    </xf>
    <xf numFmtId="172" fontId="18" fillId="0" borderId="116" xfId="0" applyNumberFormat="1" applyFont="1" applyBorder="1" applyAlignment="1">
      <alignment horizontal="right" wrapText="1"/>
    </xf>
    <xf numFmtId="174" fontId="15" fillId="44" borderId="12" xfId="0" applyNumberFormat="1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172" fontId="15" fillId="34" borderId="58" xfId="0" applyNumberFormat="1" applyFont="1" applyFill="1" applyBorder="1" applyAlignment="1">
      <alignment horizontal="center" vertical="center" wrapText="1"/>
    </xf>
    <xf numFmtId="172" fontId="15" fillId="34" borderId="63" xfId="0" applyNumberFormat="1" applyFont="1" applyFill="1" applyBorder="1" applyAlignment="1">
      <alignment horizontal="center" vertical="center" wrapText="1"/>
    </xf>
    <xf numFmtId="172" fontId="18" fillId="33" borderId="0" xfId="0" applyNumberFormat="1" applyFont="1" applyFill="1" applyBorder="1" applyAlignment="1">
      <alignment horizontal="left"/>
    </xf>
    <xf numFmtId="0" fontId="18" fillId="33" borderId="0" xfId="0" applyFont="1" applyFill="1" applyBorder="1" applyAlignment="1">
      <alignment/>
    </xf>
    <xf numFmtId="0" fontId="18" fillId="0" borderId="12" xfId="0" applyFont="1" applyBorder="1" applyAlignment="1">
      <alignment/>
    </xf>
    <xf numFmtId="172" fontId="38" fillId="33" borderId="0" xfId="0" applyNumberFormat="1" applyFont="1" applyFill="1" applyAlignment="1">
      <alignment/>
    </xf>
    <xf numFmtId="43" fontId="18" fillId="0" borderId="0" xfId="67" applyFont="1" applyAlignment="1">
      <alignment/>
    </xf>
    <xf numFmtId="3" fontId="38" fillId="0" borderId="0" xfId="0" applyNumberFormat="1" applyFont="1" applyAlignment="1">
      <alignment/>
    </xf>
    <xf numFmtId="0" fontId="15" fillId="44" borderId="12" xfId="0" applyFont="1" applyFill="1" applyBorder="1" applyAlignment="1">
      <alignment horizontal="center" vertical="center" wrapText="1"/>
    </xf>
    <xf numFmtId="0" fontId="15" fillId="42" borderId="32" xfId="0" applyFont="1" applyFill="1" applyBorder="1" applyAlignment="1">
      <alignment horizontal="right" vertical="center" wrapText="1"/>
    </xf>
    <xf numFmtId="172" fontId="15" fillId="40" borderId="63" xfId="0" applyNumberFormat="1" applyFont="1" applyFill="1" applyBorder="1" applyAlignment="1">
      <alignment horizontal="right" vertical="center" wrapText="1"/>
    </xf>
    <xf numFmtId="0" fontId="15" fillId="40" borderId="63" xfId="0" applyFont="1" applyFill="1" applyBorder="1" applyAlignment="1">
      <alignment horizontal="center" vertical="center" wrapText="1"/>
    </xf>
    <xf numFmtId="0" fontId="15" fillId="40" borderId="64" xfId="0" applyFont="1" applyFill="1" applyBorder="1" applyAlignment="1">
      <alignment horizontal="center" vertical="center" wrapText="1"/>
    </xf>
    <xf numFmtId="172" fontId="15" fillId="34" borderId="12" xfId="51" applyNumberFormat="1" applyFont="1" applyFill="1" applyBorder="1" applyAlignment="1">
      <alignment horizontal="right" vertical="center" wrapText="1"/>
      <protection/>
    </xf>
    <xf numFmtId="16" fontId="15" fillId="40" borderId="63" xfId="0" applyNumberFormat="1" applyFont="1" applyFill="1" applyBorder="1" applyAlignment="1">
      <alignment horizontal="left" vertical="center" wrapText="1"/>
    </xf>
    <xf numFmtId="0" fontId="15" fillId="40" borderId="63" xfId="0" applyFont="1" applyFill="1" applyBorder="1" applyAlignment="1">
      <alignment horizontal="left" vertical="center" wrapText="1"/>
    </xf>
    <xf numFmtId="0" fontId="15" fillId="40" borderId="64" xfId="0" applyFont="1" applyFill="1" applyBorder="1" applyAlignment="1">
      <alignment horizontal="left" vertical="center" wrapText="1"/>
    </xf>
    <xf numFmtId="0" fontId="15" fillId="40" borderId="62" xfId="0" applyFont="1" applyFill="1" applyBorder="1" applyAlignment="1">
      <alignment horizontal="left" vertical="center" wrapText="1"/>
    </xf>
    <xf numFmtId="0" fontId="15" fillId="38" borderId="62" xfId="0" applyFont="1" applyFill="1" applyBorder="1" applyAlignment="1">
      <alignment horizontal="left" vertical="center" wrapText="1"/>
    </xf>
    <xf numFmtId="0" fontId="15" fillId="38" borderId="63" xfId="0" applyFont="1" applyFill="1" applyBorder="1" applyAlignment="1">
      <alignment horizontal="left" vertical="center" wrapText="1"/>
    </xf>
    <xf numFmtId="172" fontId="15" fillId="34" borderId="12" xfId="0" applyNumberFormat="1" applyFont="1" applyFill="1" applyBorder="1" applyAlignment="1">
      <alignment horizontal="right" vertical="center" wrapText="1"/>
    </xf>
    <xf numFmtId="172" fontId="15" fillId="34" borderId="63" xfId="0" applyNumberFormat="1" applyFont="1" applyFill="1" applyBorder="1" applyAlignment="1">
      <alignment horizontal="right" vertical="center" wrapText="1"/>
    </xf>
    <xf numFmtId="16" fontId="15" fillId="34" borderId="63" xfId="0" applyNumberFormat="1" applyFont="1" applyFill="1" applyBorder="1" applyAlignment="1">
      <alignment horizontal="left" vertical="center" wrapText="1"/>
    </xf>
    <xf numFmtId="0" fontId="15" fillId="34" borderId="99" xfId="0" applyFont="1" applyFill="1" applyBorder="1" applyAlignment="1">
      <alignment horizontal="left" vertical="center" wrapText="1"/>
    </xf>
    <xf numFmtId="172" fontId="15" fillId="34" borderId="116" xfId="0" applyNumberFormat="1" applyFont="1" applyFill="1" applyBorder="1" applyAlignment="1">
      <alignment horizontal="right" vertical="center" wrapText="1"/>
    </xf>
    <xf numFmtId="0" fontId="15" fillId="34" borderId="99" xfId="0" applyFont="1" applyFill="1" applyBorder="1" applyAlignment="1">
      <alignment horizontal="center" vertical="center" wrapText="1"/>
    </xf>
    <xf numFmtId="0" fontId="15" fillId="34" borderId="59" xfId="0" applyFont="1" applyFill="1" applyBorder="1" applyAlignment="1">
      <alignment horizontal="center" vertical="center" wrapText="1"/>
    </xf>
    <xf numFmtId="0" fontId="15" fillId="34" borderId="103" xfId="0" applyFont="1" applyFill="1" applyBorder="1" applyAlignment="1">
      <alignment horizontal="center" vertical="center" wrapText="1"/>
    </xf>
    <xf numFmtId="0" fontId="15" fillId="34" borderId="98" xfId="0" applyFont="1" applyFill="1" applyBorder="1" applyAlignment="1">
      <alignment horizontal="center" vertical="center" wrapText="1"/>
    </xf>
    <xf numFmtId="0" fontId="15" fillId="34" borderId="12" xfId="0" applyFont="1" applyFill="1" applyBorder="1" applyAlignment="1">
      <alignment horizontal="left" vertical="center" wrapText="1"/>
    </xf>
    <xf numFmtId="16" fontId="15" fillId="34" borderId="12" xfId="0" applyNumberFormat="1" applyFont="1" applyFill="1" applyBorder="1" applyAlignment="1">
      <alignment horizontal="left" vertical="center" wrapText="1"/>
    </xf>
    <xf numFmtId="0" fontId="18" fillId="34" borderId="63" xfId="53" applyFont="1" applyFill="1" applyBorder="1" applyAlignment="1">
      <alignment horizontal="center" vertical="center" wrapText="1"/>
      <protection/>
    </xf>
    <xf numFmtId="0" fontId="18" fillId="34" borderId="62" xfId="53" applyFont="1" applyFill="1" applyBorder="1" applyAlignment="1">
      <alignment horizontal="center" vertical="center" wrapText="1"/>
      <protection/>
    </xf>
    <xf numFmtId="0" fontId="15" fillId="45" borderId="12" xfId="0" applyFont="1" applyFill="1" applyBorder="1" applyAlignment="1">
      <alignment horizontal="left" vertical="center" wrapText="1"/>
    </xf>
    <xf numFmtId="16" fontId="15" fillId="34" borderId="12" xfId="51" applyNumberFormat="1" applyFont="1" applyFill="1" applyBorder="1" applyAlignment="1">
      <alignment horizontal="left" vertical="center" wrapText="1"/>
      <protection/>
    </xf>
    <xf numFmtId="0" fontId="15" fillId="34" borderId="12" xfId="51" applyFont="1" applyFill="1" applyBorder="1" applyAlignment="1">
      <alignment horizontal="left" vertical="center" wrapText="1"/>
      <protection/>
    </xf>
    <xf numFmtId="0" fontId="18" fillId="34" borderId="75" xfId="54" applyFont="1" applyFill="1" applyBorder="1" applyAlignment="1">
      <alignment horizontal="center" vertical="center" wrapText="1"/>
      <protection/>
    </xf>
    <xf numFmtId="0" fontId="15" fillId="34" borderId="14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 horizontal="justify" vertical="center"/>
    </xf>
    <xf numFmtId="172" fontId="18" fillId="0" borderId="0" xfId="55" applyNumberFormat="1" applyFont="1" applyFill="1" applyBorder="1" applyAlignment="1">
      <alignment horizontal="right" wrapText="1"/>
      <protection/>
    </xf>
    <xf numFmtId="172" fontId="18" fillId="0" borderId="47" xfId="55" applyNumberFormat="1" applyFont="1" applyFill="1" applyBorder="1" applyAlignment="1">
      <alignment horizontal="right" vertical="center" wrapText="1"/>
      <protection/>
    </xf>
    <xf numFmtId="172" fontId="18" fillId="0" borderId="12" xfId="55" applyNumberFormat="1" applyFont="1" applyFill="1" applyBorder="1" applyAlignment="1">
      <alignment horizontal="right" vertical="center" wrapText="1"/>
      <protection/>
    </xf>
    <xf numFmtId="172" fontId="18" fillId="0" borderId="60" xfId="55" applyNumberFormat="1" applyFont="1" applyFill="1" applyBorder="1" applyAlignment="1">
      <alignment horizontal="right" vertical="center" wrapText="1"/>
      <protection/>
    </xf>
    <xf numFmtId="172" fontId="18" fillId="0" borderId="13" xfId="55" applyNumberFormat="1" applyFont="1" applyFill="1" applyBorder="1" applyAlignment="1">
      <alignment horizontal="right" vertical="center" wrapText="1"/>
      <protection/>
    </xf>
    <xf numFmtId="172" fontId="18" fillId="0" borderId="40" xfId="0" applyNumberFormat="1" applyFont="1" applyBorder="1" applyAlignment="1">
      <alignment horizontal="right" wrapText="1"/>
    </xf>
    <xf numFmtId="0" fontId="15" fillId="45" borderId="12" xfId="0" applyFont="1" applyFill="1" applyBorder="1" applyAlignment="1">
      <alignment horizontal="center" vertical="center" wrapText="1"/>
    </xf>
    <xf numFmtId="174" fontId="15" fillId="44" borderId="12" xfId="0" applyNumberFormat="1" applyFont="1" applyFill="1" applyBorder="1" applyAlignment="1">
      <alignment horizontal="center" vertical="center"/>
    </xf>
    <xf numFmtId="0" fontId="15" fillId="34" borderId="14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8" fillId="34" borderId="12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/>
    </xf>
    <xf numFmtId="0" fontId="15" fillId="0" borderId="0" xfId="0" applyFont="1" applyFill="1" applyAlignment="1">
      <alignment/>
    </xf>
    <xf numFmtId="0" fontId="18" fillId="33" borderId="62" xfId="0" applyFont="1" applyFill="1" applyBorder="1" applyAlignment="1">
      <alignment wrapText="1"/>
    </xf>
    <xf numFmtId="0" fontId="18" fillId="33" borderId="12" xfId="51" applyFont="1" applyFill="1" applyBorder="1" applyAlignment="1">
      <alignment horizontal="left" vertical="center" wrapText="1"/>
      <protection/>
    </xf>
    <xf numFmtId="0" fontId="15" fillId="34" borderId="117" xfId="0" applyFont="1" applyFill="1" applyBorder="1" applyAlignment="1">
      <alignment horizontal="left" vertical="top" wrapText="1"/>
    </xf>
    <xf numFmtId="0" fontId="18" fillId="33" borderId="64" xfId="0" applyFont="1" applyFill="1" applyBorder="1" applyAlignment="1">
      <alignment wrapText="1"/>
    </xf>
    <xf numFmtId="0" fontId="18" fillId="33" borderId="16" xfId="0" applyFont="1" applyFill="1" applyBorder="1" applyAlignment="1">
      <alignment wrapText="1"/>
    </xf>
    <xf numFmtId="0" fontId="18" fillId="33" borderId="57" xfId="0" applyFont="1" applyFill="1" applyBorder="1" applyAlignment="1">
      <alignment wrapText="1"/>
    </xf>
    <xf numFmtId="0" fontId="18" fillId="33" borderId="59" xfId="0" applyFont="1" applyFill="1" applyBorder="1" applyAlignment="1">
      <alignment wrapText="1"/>
    </xf>
    <xf numFmtId="4" fontId="45" fillId="33" borderId="45" xfId="0" applyNumberFormat="1" applyFont="1" applyFill="1" applyBorder="1" applyAlignment="1">
      <alignment horizontal="right" vertical="center"/>
    </xf>
    <xf numFmtId="0" fontId="15" fillId="34" borderId="117" xfId="0" applyFont="1" applyFill="1" applyBorder="1" applyAlignment="1">
      <alignment horizontal="left" vertical="center" wrapText="1"/>
    </xf>
    <xf numFmtId="16" fontId="15" fillId="34" borderId="70" xfId="0" applyNumberFormat="1" applyFont="1" applyFill="1" applyBorder="1" applyAlignment="1">
      <alignment horizontal="left" vertical="center" wrapText="1"/>
    </xf>
    <xf numFmtId="0" fontId="15" fillId="34" borderId="118" xfId="0" applyFont="1" applyFill="1" applyBorder="1" applyAlignment="1">
      <alignment horizontal="left" vertical="center" wrapText="1"/>
    </xf>
    <xf numFmtId="0" fontId="15" fillId="34" borderId="70" xfId="0" applyFont="1" applyFill="1" applyBorder="1" applyAlignment="1">
      <alignment horizontal="left" vertical="center" wrapText="1"/>
    </xf>
    <xf numFmtId="0" fontId="15" fillId="34" borderId="117" xfId="0" applyFont="1" applyFill="1" applyBorder="1" applyAlignment="1">
      <alignment horizontal="center" vertical="center" wrapText="1"/>
    </xf>
    <xf numFmtId="0" fontId="15" fillId="34" borderId="118" xfId="0" applyFont="1" applyFill="1" applyBorder="1" applyAlignment="1">
      <alignment horizontal="center" vertical="center" wrapText="1"/>
    </xf>
    <xf numFmtId="0" fontId="15" fillId="34" borderId="70" xfId="0" applyFont="1" applyFill="1" applyBorder="1" applyAlignment="1">
      <alignment horizontal="center" vertical="center" wrapText="1"/>
    </xf>
    <xf numFmtId="172" fontId="15" fillId="34" borderId="70" xfId="0" applyNumberFormat="1" applyFont="1" applyFill="1" applyBorder="1" applyAlignment="1">
      <alignment horizontal="right" vertical="center" wrapText="1"/>
    </xf>
    <xf numFmtId="0" fontId="18" fillId="0" borderId="87" xfId="0" applyFont="1" applyBorder="1" applyAlignment="1">
      <alignment/>
    </xf>
    <xf numFmtId="0" fontId="15" fillId="34" borderId="119" xfId="0" applyFont="1" applyFill="1" applyBorder="1" applyAlignment="1">
      <alignment horizontal="left" vertical="center" wrapText="1"/>
    </xf>
    <xf numFmtId="0" fontId="15" fillId="34" borderId="119" xfId="0" applyFont="1" applyFill="1" applyBorder="1" applyAlignment="1">
      <alignment horizontal="center" vertical="center" wrapText="1"/>
    </xf>
    <xf numFmtId="0" fontId="15" fillId="34" borderId="44" xfId="0" applyFont="1" applyFill="1" applyBorder="1" applyAlignment="1">
      <alignment horizontal="center" vertical="center" wrapText="1"/>
    </xf>
    <xf numFmtId="172" fontId="15" fillId="34" borderId="120" xfId="0" applyNumberFormat="1" applyFont="1" applyFill="1" applyBorder="1" applyAlignment="1">
      <alignment horizontal="right" vertical="center" wrapText="1"/>
    </xf>
    <xf numFmtId="0" fontId="18" fillId="33" borderId="58" xfId="53" applyFont="1" applyFill="1" applyBorder="1" applyAlignment="1">
      <alignment wrapText="1"/>
      <protection/>
    </xf>
    <xf numFmtId="172" fontId="18" fillId="33" borderId="58" xfId="53" applyNumberFormat="1" applyFont="1" applyFill="1" applyBorder="1" applyAlignment="1">
      <alignment horizontal="right" vertical="center"/>
      <protection/>
    </xf>
    <xf numFmtId="0" fontId="18" fillId="33" borderId="41" xfId="0" applyFont="1" applyFill="1" applyBorder="1" applyAlignment="1">
      <alignment wrapText="1"/>
    </xf>
    <xf numFmtId="0" fontId="18" fillId="33" borderId="32" xfId="0" applyFont="1" applyFill="1" applyBorder="1" applyAlignment="1">
      <alignment wrapText="1"/>
    </xf>
    <xf numFmtId="172" fontId="18" fillId="33" borderId="32" xfId="0" applyNumberFormat="1" applyFont="1" applyFill="1" applyBorder="1" applyAlignment="1">
      <alignment horizontal="right" wrapText="1"/>
    </xf>
    <xf numFmtId="172" fontId="18" fillId="33" borderId="93" xfId="0" applyNumberFormat="1" applyFont="1" applyFill="1" applyBorder="1" applyAlignment="1">
      <alignment horizontal="right" wrapText="1"/>
    </xf>
    <xf numFmtId="172" fontId="18" fillId="33" borderId="57" xfId="0" applyNumberFormat="1" applyFont="1" applyFill="1" applyBorder="1" applyAlignment="1">
      <alignment horizontal="right" wrapText="1"/>
    </xf>
    <xf numFmtId="172" fontId="18" fillId="33" borderId="47" xfId="0" applyNumberFormat="1" applyFont="1" applyFill="1" applyBorder="1" applyAlignment="1">
      <alignment vertical="center"/>
    </xf>
    <xf numFmtId="172" fontId="18" fillId="33" borderId="40" xfId="0" applyNumberFormat="1" applyFont="1" applyFill="1" applyBorder="1" applyAlignment="1">
      <alignment horizontal="right" wrapText="1"/>
    </xf>
    <xf numFmtId="0" fontId="18" fillId="33" borderId="77" xfId="0" applyFont="1" applyFill="1" applyBorder="1" applyAlignment="1">
      <alignment wrapText="1"/>
    </xf>
    <xf numFmtId="172" fontId="18" fillId="33" borderId="77" xfId="0" applyNumberFormat="1" applyFont="1" applyFill="1" applyBorder="1" applyAlignment="1">
      <alignment horizontal="right" wrapText="1"/>
    </xf>
    <xf numFmtId="172" fontId="18" fillId="33" borderId="0" xfId="0" applyNumberFormat="1" applyFont="1" applyFill="1" applyAlignment="1">
      <alignment/>
    </xf>
    <xf numFmtId="0" fontId="18" fillId="33" borderId="58" xfId="0" applyFont="1" applyFill="1" applyBorder="1" applyAlignment="1">
      <alignment wrapText="1"/>
    </xf>
    <xf numFmtId="172" fontId="15" fillId="34" borderId="14" xfId="0" applyNumberFormat="1" applyFont="1" applyFill="1" applyBorder="1" applyAlignment="1">
      <alignment horizontal="center" vertical="center" wrapText="1"/>
    </xf>
    <xf numFmtId="172" fontId="15" fillId="34" borderId="52" xfId="0" applyNumberFormat="1" applyFont="1" applyFill="1" applyBorder="1" applyAlignment="1">
      <alignment horizontal="center" vertical="center" wrapText="1"/>
    </xf>
    <xf numFmtId="172" fontId="15" fillId="34" borderId="11" xfId="0" applyNumberFormat="1" applyFont="1" applyFill="1" applyBorder="1" applyAlignment="1">
      <alignment horizontal="center" vertical="center" wrapText="1"/>
    </xf>
    <xf numFmtId="16" fontId="15" fillId="34" borderId="14" xfId="0" applyNumberFormat="1" applyFont="1" applyFill="1" applyBorder="1" applyAlignment="1">
      <alignment horizontal="center" vertical="center" wrapText="1"/>
    </xf>
    <xf numFmtId="16" fontId="15" fillId="34" borderId="52" xfId="0" applyNumberFormat="1" applyFont="1" applyFill="1" applyBorder="1" applyAlignment="1">
      <alignment horizontal="center" vertical="center" wrapText="1"/>
    </xf>
    <xf numFmtId="16" fontId="15" fillId="34" borderId="11" xfId="0" applyNumberFormat="1" applyFont="1" applyFill="1" applyBorder="1" applyAlignment="1">
      <alignment horizontal="center" vertical="center" wrapText="1"/>
    </xf>
    <xf numFmtId="0" fontId="15" fillId="34" borderId="14" xfId="0" applyFont="1" applyFill="1" applyBorder="1" applyAlignment="1">
      <alignment horizontal="center" vertical="center" wrapText="1"/>
    </xf>
    <xf numFmtId="0" fontId="15" fillId="34" borderId="52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 wrapText="1"/>
    </xf>
    <xf numFmtId="0" fontId="18" fillId="34" borderId="121" xfId="0" applyFont="1" applyFill="1" applyBorder="1" applyAlignment="1">
      <alignment horizontal="center" vertical="center" wrapText="1"/>
    </xf>
    <xf numFmtId="0" fontId="18" fillId="34" borderId="52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 wrapText="1"/>
    </xf>
    <xf numFmtId="172" fontId="15" fillId="34" borderId="54" xfId="54" applyNumberFormat="1" applyFont="1" applyFill="1" applyBorder="1" applyAlignment="1">
      <alignment horizontal="right" vertical="center" wrapText="1"/>
      <protection/>
    </xf>
    <xf numFmtId="172" fontId="15" fillId="34" borderId="31" xfId="54" applyNumberFormat="1" applyFont="1" applyFill="1" applyBorder="1" applyAlignment="1">
      <alignment horizontal="right" vertical="center" wrapText="1"/>
      <protection/>
    </xf>
    <xf numFmtId="172" fontId="15" fillId="34" borderId="29" xfId="54" applyNumberFormat="1" applyFont="1" applyFill="1" applyBorder="1" applyAlignment="1">
      <alignment horizontal="right" vertical="center" wrapText="1"/>
      <protection/>
    </xf>
    <xf numFmtId="172" fontId="15" fillId="40" borderId="63" xfId="0" applyNumberFormat="1" applyFont="1" applyFill="1" applyBorder="1" applyAlignment="1">
      <alignment horizontal="right" vertical="center" wrapText="1"/>
    </xf>
    <xf numFmtId="172" fontId="15" fillId="40" borderId="62" xfId="0" applyNumberFormat="1" applyFont="1" applyFill="1" applyBorder="1" applyAlignment="1">
      <alignment horizontal="right" vertical="center" wrapText="1"/>
    </xf>
    <xf numFmtId="9" fontId="18" fillId="34" borderId="16" xfId="54" applyNumberFormat="1" applyFont="1" applyFill="1" applyBorder="1" applyAlignment="1">
      <alignment horizontal="center" vertical="center" wrapText="1"/>
      <protection/>
    </xf>
    <xf numFmtId="9" fontId="18" fillId="34" borderId="88" xfId="54" applyNumberFormat="1" applyFont="1" applyFill="1" applyBorder="1" applyAlignment="1">
      <alignment horizontal="center" vertical="center" wrapText="1"/>
      <protection/>
    </xf>
    <xf numFmtId="0" fontId="18" fillId="34" borderId="75" xfId="54" applyFont="1" applyFill="1" applyBorder="1" applyAlignment="1">
      <alignment horizontal="center" vertical="center" wrapText="1"/>
      <protection/>
    </xf>
    <xf numFmtId="0" fontId="18" fillId="34" borderId="62" xfId="54" applyFont="1" applyFill="1" applyBorder="1" applyAlignment="1">
      <alignment horizontal="center" vertical="center" wrapText="1"/>
      <protection/>
    </xf>
    <xf numFmtId="0" fontId="18" fillId="34" borderId="63" xfId="53" applyFont="1" applyFill="1" applyBorder="1" applyAlignment="1">
      <alignment horizontal="center" vertical="center" wrapText="1"/>
      <protection/>
    </xf>
    <xf numFmtId="0" fontId="18" fillId="34" borderId="62" xfId="53" applyFont="1" applyFill="1" applyBorder="1" applyAlignment="1">
      <alignment horizontal="center" vertical="center" wrapText="1"/>
      <protection/>
    </xf>
    <xf numFmtId="0" fontId="18" fillId="34" borderId="63" xfId="53" applyNumberFormat="1" applyFont="1" applyFill="1" applyBorder="1" applyAlignment="1">
      <alignment horizontal="center" vertical="center" wrapText="1"/>
      <protection/>
    </xf>
    <xf numFmtId="0" fontId="18" fillId="34" borderId="62" xfId="53" applyNumberFormat="1" applyFont="1" applyFill="1" applyBorder="1" applyAlignment="1">
      <alignment horizontal="center" vertical="center" wrapText="1"/>
      <protection/>
    </xf>
    <xf numFmtId="172" fontId="15" fillId="34" borderId="16" xfId="54" applyNumberFormat="1" applyFont="1" applyFill="1" applyBorder="1" applyAlignment="1">
      <alignment horizontal="right" vertical="center" wrapText="1"/>
      <protection/>
    </xf>
    <xf numFmtId="172" fontId="15" fillId="34" borderId="46" xfId="54" applyNumberFormat="1" applyFont="1" applyFill="1" applyBorder="1" applyAlignment="1">
      <alignment horizontal="right" vertical="center" wrapText="1"/>
      <protection/>
    </xf>
    <xf numFmtId="172" fontId="15" fillId="34" borderId="88" xfId="54" applyNumberFormat="1" applyFont="1" applyFill="1" applyBorder="1" applyAlignment="1">
      <alignment horizontal="right" vertical="center" wrapText="1"/>
      <protection/>
    </xf>
    <xf numFmtId="172" fontId="18" fillId="34" borderId="63" xfId="0" applyNumberFormat="1" applyFont="1" applyFill="1" applyBorder="1" applyAlignment="1">
      <alignment horizontal="right" vertical="center" wrapText="1"/>
    </xf>
    <xf numFmtId="172" fontId="18" fillId="34" borderId="64" xfId="0" applyNumberFormat="1" applyFont="1" applyFill="1" applyBorder="1" applyAlignment="1">
      <alignment horizontal="right" vertical="center" wrapText="1"/>
    </xf>
    <xf numFmtId="172" fontId="18" fillId="34" borderId="122" xfId="0" applyNumberFormat="1" applyFont="1" applyFill="1" applyBorder="1" applyAlignment="1">
      <alignment horizontal="right" vertical="center" wrapText="1"/>
    </xf>
    <xf numFmtId="172" fontId="18" fillId="34" borderId="75" xfId="53" applyNumberFormat="1" applyFont="1" applyFill="1" applyBorder="1" applyAlignment="1">
      <alignment horizontal="right" vertical="center" wrapText="1"/>
      <protection/>
    </xf>
    <xf numFmtId="172" fontId="18" fillId="34" borderId="64" xfId="53" applyNumberFormat="1" applyFont="1" applyFill="1" applyBorder="1" applyAlignment="1">
      <alignment horizontal="right" vertical="center" wrapText="1"/>
      <protection/>
    </xf>
    <xf numFmtId="172" fontId="18" fillId="34" borderId="122" xfId="53" applyNumberFormat="1" applyFont="1" applyFill="1" applyBorder="1" applyAlignment="1">
      <alignment horizontal="right" vertical="center" wrapText="1"/>
      <protection/>
    </xf>
    <xf numFmtId="172" fontId="18" fillId="34" borderId="63" xfId="53" applyNumberFormat="1" applyFont="1" applyFill="1" applyBorder="1" applyAlignment="1">
      <alignment horizontal="right" vertical="center" wrapText="1"/>
      <protection/>
    </xf>
    <xf numFmtId="172" fontId="18" fillId="34" borderId="62" xfId="53" applyNumberFormat="1" applyFont="1" applyFill="1" applyBorder="1" applyAlignment="1">
      <alignment horizontal="right" vertical="center" wrapText="1"/>
      <protection/>
    </xf>
    <xf numFmtId="172" fontId="18" fillId="34" borderId="123" xfId="53" applyNumberFormat="1" applyFont="1" applyFill="1" applyBorder="1" applyAlignment="1">
      <alignment horizontal="right" vertical="center" wrapText="1"/>
      <protection/>
    </xf>
    <xf numFmtId="172" fontId="18" fillId="34" borderId="124" xfId="53" applyNumberFormat="1" applyFont="1" applyFill="1" applyBorder="1" applyAlignment="1">
      <alignment horizontal="right" vertical="center" wrapText="1"/>
      <protection/>
    </xf>
    <xf numFmtId="16" fontId="15" fillId="34" borderId="103" xfId="54" applyNumberFormat="1" applyFont="1" applyFill="1" applyBorder="1" applyAlignment="1">
      <alignment horizontal="center" vertical="center" wrapText="1"/>
      <protection/>
    </xf>
    <xf numFmtId="16" fontId="15" fillId="34" borderId="98" xfId="54" applyNumberFormat="1" applyFont="1" applyFill="1" applyBorder="1" applyAlignment="1">
      <alignment horizontal="center" vertical="center" wrapText="1"/>
      <protection/>
    </xf>
    <xf numFmtId="16" fontId="15" fillId="34" borderId="125" xfId="54" applyNumberFormat="1" applyFont="1" applyFill="1" applyBorder="1" applyAlignment="1">
      <alignment horizontal="center" vertical="center" wrapText="1"/>
      <protection/>
    </xf>
    <xf numFmtId="0" fontId="15" fillId="34" borderId="16" xfId="54" applyFont="1" applyFill="1" applyBorder="1" applyAlignment="1">
      <alignment horizontal="center" vertical="center" wrapText="1"/>
      <protection/>
    </xf>
    <xf numFmtId="0" fontId="15" fillId="34" borderId="46" xfId="54" applyFont="1" applyFill="1" applyBorder="1" applyAlignment="1">
      <alignment horizontal="center" vertical="center" wrapText="1"/>
      <protection/>
    </xf>
    <xf numFmtId="0" fontId="15" fillId="34" borderId="88" xfId="54" applyFont="1" applyFill="1" applyBorder="1" applyAlignment="1">
      <alignment horizontal="center" vertical="center" wrapText="1"/>
      <protection/>
    </xf>
    <xf numFmtId="16" fontId="15" fillId="34" borderId="103" xfId="0" applyNumberFormat="1" applyFont="1" applyFill="1" applyBorder="1" applyAlignment="1">
      <alignment horizontal="center" vertical="center" wrapText="1"/>
    </xf>
    <xf numFmtId="16" fontId="15" fillId="34" borderId="98" xfId="0" applyNumberFormat="1" applyFont="1" applyFill="1" applyBorder="1" applyAlignment="1">
      <alignment horizontal="center" vertical="center" wrapText="1"/>
    </xf>
    <xf numFmtId="16" fontId="15" fillId="34" borderId="125" xfId="0" applyNumberFormat="1" applyFont="1" applyFill="1" applyBorder="1" applyAlignment="1">
      <alignment horizontal="center" vertical="center" wrapText="1"/>
    </xf>
    <xf numFmtId="0" fontId="15" fillId="34" borderId="16" xfId="0" applyFont="1" applyFill="1" applyBorder="1" applyAlignment="1">
      <alignment horizontal="center" vertical="center" wrapText="1"/>
    </xf>
    <xf numFmtId="0" fontId="15" fillId="34" borderId="46" xfId="0" applyFont="1" applyFill="1" applyBorder="1" applyAlignment="1">
      <alignment horizontal="center" vertical="center" wrapText="1"/>
    </xf>
    <xf numFmtId="0" fontId="15" fillId="34" borderId="88" xfId="0" applyFont="1" applyFill="1" applyBorder="1" applyAlignment="1">
      <alignment horizontal="center" vertical="center" wrapText="1"/>
    </xf>
    <xf numFmtId="16" fontId="15" fillId="34" borderId="64" xfId="53" applyNumberFormat="1" applyFont="1" applyFill="1" applyBorder="1" applyAlignment="1">
      <alignment horizontal="center" vertical="center" wrapText="1"/>
      <protection/>
    </xf>
    <xf numFmtId="16" fontId="15" fillId="34" borderId="62" xfId="53" applyNumberFormat="1" applyFont="1" applyFill="1" applyBorder="1" applyAlignment="1">
      <alignment horizontal="center" vertical="center" wrapText="1"/>
      <protection/>
    </xf>
    <xf numFmtId="0" fontId="15" fillId="34" borderId="61" xfId="53" applyFont="1" applyFill="1" applyBorder="1" applyAlignment="1">
      <alignment horizontal="center" vertical="center" wrapText="1"/>
      <protection/>
    </xf>
    <xf numFmtId="0" fontId="15" fillId="34" borderId="59" xfId="53" applyFont="1" applyFill="1" applyBorder="1" applyAlignment="1">
      <alignment horizontal="center" vertical="center" wrapText="1"/>
      <protection/>
    </xf>
    <xf numFmtId="0" fontId="18" fillId="34" borderId="111" xfId="54" applyFont="1" applyFill="1" applyBorder="1" applyAlignment="1">
      <alignment horizontal="center" vertical="center" wrapText="1"/>
      <protection/>
    </xf>
    <xf numFmtId="0" fontId="18" fillId="34" borderId="126" xfId="54" applyFont="1" applyFill="1" applyBorder="1" applyAlignment="1">
      <alignment horizontal="center" vertical="center" wrapText="1"/>
      <protection/>
    </xf>
    <xf numFmtId="9" fontId="18" fillId="34" borderId="99" xfId="54" applyNumberFormat="1" applyFont="1" applyFill="1" applyBorder="1" applyAlignment="1">
      <alignment horizontal="center" vertical="center" wrapText="1"/>
      <protection/>
    </xf>
    <xf numFmtId="0" fontId="18" fillId="34" borderId="61" xfId="54" applyFont="1" applyFill="1" applyBorder="1" applyAlignment="1">
      <alignment horizontal="center" vertical="center" wrapText="1"/>
      <protection/>
    </xf>
    <xf numFmtId="0" fontId="15" fillId="34" borderId="78" xfId="54" applyFont="1" applyFill="1" applyBorder="1" applyAlignment="1">
      <alignment horizontal="left" vertical="center" wrapText="1"/>
      <protection/>
    </xf>
    <xf numFmtId="0" fontId="15" fillId="34" borderId="64" xfId="54" applyFont="1" applyFill="1" applyBorder="1" applyAlignment="1">
      <alignment horizontal="left" vertical="center" wrapText="1"/>
      <protection/>
    </xf>
    <xf numFmtId="0" fontId="18" fillId="34" borderId="98" xfId="54" applyFont="1" applyFill="1" applyBorder="1" applyAlignment="1">
      <alignment horizontal="center" vertical="center" wrapText="1"/>
      <protection/>
    </xf>
    <xf numFmtId="0" fontId="18" fillId="34" borderId="97" xfId="54" applyFont="1" applyFill="1" applyBorder="1" applyAlignment="1">
      <alignment horizontal="center" vertical="center" wrapText="1"/>
      <protection/>
    </xf>
    <xf numFmtId="0" fontId="15" fillId="34" borderId="115" xfId="54" applyFont="1" applyFill="1" applyBorder="1" applyAlignment="1">
      <alignment horizontal="left" vertical="center" wrapText="1"/>
      <protection/>
    </xf>
    <xf numFmtId="0" fontId="15" fillId="34" borderId="0" xfId="54" applyFont="1" applyFill="1" applyBorder="1" applyAlignment="1">
      <alignment horizontal="left" vertical="center" wrapText="1"/>
      <protection/>
    </xf>
    <xf numFmtId="0" fontId="15" fillId="34" borderId="16" xfId="54" applyFont="1" applyFill="1" applyBorder="1" applyAlignment="1">
      <alignment horizontal="left" vertical="center" wrapText="1"/>
      <protection/>
    </xf>
    <xf numFmtId="0" fontId="15" fillId="34" borderId="46" xfId="54" applyFont="1" applyFill="1" applyBorder="1" applyAlignment="1">
      <alignment horizontal="left" vertical="center" wrapText="1"/>
      <protection/>
    </xf>
    <xf numFmtId="9" fontId="18" fillId="34" borderId="63" xfId="54" applyNumberFormat="1" applyFont="1" applyFill="1" applyBorder="1" applyAlignment="1">
      <alignment horizontal="center" vertical="center" wrapText="1"/>
      <protection/>
    </xf>
    <xf numFmtId="0" fontId="18" fillId="34" borderId="64" xfId="54" applyFont="1" applyFill="1" applyBorder="1" applyAlignment="1">
      <alignment horizontal="center" vertical="center" wrapText="1"/>
      <protection/>
    </xf>
    <xf numFmtId="16" fontId="15" fillId="34" borderId="12" xfId="51" applyNumberFormat="1" applyFont="1" applyFill="1" applyBorder="1" applyAlignment="1">
      <alignment horizontal="left" vertical="center" wrapText="1"/>
      <protection/>
    </xf>
    <xf numFmtId="0" fontId="15" fillId="34" borderId="12" xfId="51" applyFont="1" applyFill="1" applyBorder="1" applyAlignment="1">
      <alignment horizontal="left" vertical="center" wrapText="1"/>
      <protection/>
    </xf>
    <xf numFmtId="172" fontId="15" fillId="34" borderId="12" xfId="51" applyNumberFormat="1" applyFont="1" applyFill="1" applyBorder="1" applyAlignment="1">
      <alignment horizontal="right" vertical="center" wrapText="1"/>
      <protection/>
    </xf>
    <xf numFmtId="0" fontId="18" fillId="34" borderId="103" xfId="54" applyFont="1" applyFill="1" applyBorder="1" applyAlignment="1">
      <alignment horizontal="center" vertical="center" wrapText="1"/>
      <protection/>
    </xf>
    <xf numFmtId="0" fontId="18" fillId="34" borderId="127" xfId="54" applyFont="1" applyFill="1" applyBorder="1" applyAlignment="1">
      <alignment horizontal="center" vertical="center" wrapText="1"/>
      <protection/>
    </xf>
    <xf numFmtId="0" fontId="18" fillId="34" borderId="128" xfId="54" applyFont="1" applyFill="1" applyBorder="1" applyAlignment="1">
      <alignment horizontal="center" vertical="center" wrapText="1"/>
      <protection/>
    </xf>
    <xf numFmtId="0" fontId="18" fillId="34" borderId="63" xfId="54" applyFont="1" applyFill="1" applyBorder="1" applyAlignment="1">
      <alignment horizontal="center" vertical="center" wrapText="1"/>
      <protection/>
    </xf>
    <xf numFmtId="172" fontId="15" fillId="34" borderId="116" xfId="54" applyNumberFormat="1" applyFont="1" applyFill="1" applyBorder="1" applyAlignment="1">
      <alignment horizontal="right" vertical="center" wrapText="1"/>
      <protection/>
    </xf>
    <xf numFmtId="172" fontId="15" fillId="34" borderId="78" xfId="54" applyNumberFormat="1" applyFont="1" applyFill="1" applyBorder="1" applyAlignment="1">
      <alignment horizontal="right" vertical="center" wrapText="1"/>
      <protection/>
    </xf>
    <xf numFmtId="172" fontId="15" fillId="34" borderId="77" xfId="54" applyNumberFormat="1" applyFont="1" applyFill="1" applyBorder="1" applyAlignment="1">
      <alignment horizontal="right" vertical="center" wrapText="1"/>
      <protection/>
    </xf>
    <xf numFmtId="172" fontId="15" fillId="34" borderId="123" xfId="54" applyNumberFormat="1" applyFont="1" applyFill="1" applyBorder="1" applyAlignment="1">
      <alignment horizontal="right" vertical="center" wrapText="1"/>
      <protection/>
    </xf>
    <xf numFmtId="172" fontId="15" fillId="34" borderId="129" xfId="54" applyNumberFormat="1" applyFont="1" applyFill="1" applyBorder="1" applyAlignment="1">
      <alignment horizontal="right" vertical="center" wrapText="1"/>
      <protection/>
    </xf>
    <xf numFmtId="172" fontId="15" fillId="34" borderId="124" xfId="54" applyNumberFormat="1" applyFont="1" applyFill="1" applyBorder="1" applyAlignment="1">
      <alignment horizontal="right" vertical="center" wrapText="1"/>
      <protection/>
    </xf>
    <xf numFmtId="0" fontId="18" fillId="34" borderId="122" xfId="54" applyFont="1" applyFill="1" applyBorder="1" applyAlignment="1">
      <alignment horizontal="center" vertical="center" wrapText="1"/>
      <protection/>
    </xf>
    <xf numFmtId="0" fontId="18" fillId="34" borderId="122" xfId="53" applyFont="1" applyFill="1" applyBorder="1" applyAlignment="1">
      <alignment horizontal="center" vertical="center" wrapText="1"/>
      <protection/>
    </xf>
    <xf numFmtId="0" fontId="15" fillId="34" borderId="99" xfId="53" applyFont="1" applyFill="1" applyBorder="1" applyAlignment="1">
      <alignment horizontal="left" vertical="center" wrapText="1"/>
      <protection/>
    </xf>
    <xf numFmtId="0" fontId="15" fillId="34" borderId="59" xfId="53" applyFont="1" applyFill="1" applyBorder="1" applyAlignment="1">
      <alignment horizontal="left" vertical="center" wrapText="1"/>
      <protection/>
    </xf>
    <xf numFmtId="0" fontId="18" fillId="34" borderId="103" xfId="53" applyFont="1" applyFill="1" applyBorder="1" applyAlignment="1">
      <alignment horizontal="center" vertical="center" wrapText="1"/>
      <protection/>
    </xf>
    <xf numFmtId="0" fontId="18" fillId="34" borderId="127" xfId="53" applyFont="1" applyFill="1" applyBorder="1" applyAlignment="1">
      <alignment horizontal="center" vertical="center" wrapText="1"/>
      <protection/>
    </xf>
    <xf numFmtId="0" fontId="18" fillId="34" borderId="111" xfId="53" applyFont="1" applyFill="1" applyBorder="1" applyAlignment="1">
      <alignment horizontal="center" vertical="center" wrapText="1"/>
      <protection/>
    </xf>
    <xf numFmtId="0" fontId="18" fillId="34" borderId="128" xfId="53" applyFont="1" applyFill="1" applyBorder="1" applyAlignment="1">
      <alignment horizontal="center" vertical="center" wrapText="1"/>
      <protection/>
    </xf>
    <xf numFmtId="0" fontId="15" fillId="34" borderId="88" xfId="54" applyFont="1" applyFill="1" applyBorder="1" applyAlignment="1">
      <alignment horizontal="left" vertical="center" wrapText="1"/>
      <protection/>
    </xf>
    <xf numFmtId="16" fontId="15" fillId="40" borderId="63" xfId="0" applyNumberFormat="1" applyFont="1" applyFill="1" applyBorder="1" applyAlignment="1">
      <alignment horizontal="left" vertical="center" wrapText="1"/>
    </xf>
    <xf numFmtId="16" fontId="15" fillId="40" borderId="62" xfId="0" applyNumberFormat="1" applyFont="1" applyFill="1" applyBorder="1" applyAlignment="1">
      <alignment horizontal="left" vertical="center" wrapText="1"/>
    </xf>
    <xf numFmtId="0" fontId="15" fillId="40" borderId="63" xfId="0" applyFont="1" applyFill="1" applyBorder="1" applyAlignment="1">
      <alignment horizontal="left" vertical="center" wrapText="1"/>
    </xf>
    <xf numFmtId="0" fontId="15" fillId="40" borderId="62" xfId="0" applyFont="1" applyFill="1" applyBorder="1" applyAlignment="1">
      <alignment horizontal="left" vertical="center" wrapText="1"/>
    </xf>
    <xf numFmtId="0" fontId="18" fillId="34" borderId="126" xfId="53" applyFont="1" applyFill="1" applyBorder="1" applyAlignment="1">
      <alignment horizontal="center" vertical="center" wrapText="1"/>
      <protection/>
    </xf>
    <xf numFmtId="16" fontId="15" fillId="45" borderId="12" xfId="0" applyNumberFormat="1" applyFont="1" applyFill="1" applyBorder="1" applyAlignment="1">
      <alignment horizontal="left" vertical="center" wrapText="1"/>
    </xf>
    <xf numFmtId="0" fontId="15" fillId="45" borderId="12" xfId="0" applyFont="1" applyFill="1" applyBorder="1" applyAlignment="1">
      <alignment horizontal="left" vertical="center" wrapText="1"/>
    </xf>
    <xf numFmtId="16" fontId="15" fillId="34" borderId="63" xfId="0" applyNumberFormat="1" applyFont="1" applyFill="1" applyBorder="1" applyAlignment="1">
      <alignment horizontal="left" vertical="center" wrapText="1"/>
    </xf>
    <xf numFmtId="16" fontId="15" fillId="34" borderId="64" xfId="0" applyNumberFormat="1" applyFont="1" applyFill="1" applyBorder="1" applyAlignment="1">
      <alignment horizontal="left" vertical="center" wrapText="1"/>
    </xf>
    <xf numFmtId="0" fontId="15" fillId="34" borderId="62" xfId="0" applyFont="1" applyFill="1" applyBorder="1" applyAlignment="1">
      <alignment horizontal="left" vertical="center" wrapText="1"/>
    </xf>
    <xf numFmtId="0" fontId="15" fillId="34" borderId="99" xfId="0" applyFont="1" applyFill="1" applyBorder="1" applyAlignment="1">
      <alignment horizontal="left" vertical="center" wrapText="1"/>
    </xf>
    <xf numFmtId="0" fontId="15" fillId="34" borderId="61" xfId="0" applyFont="1" applyFill="1" applyBorder="1" applyAlignment="1">
      <alignment horizontal="left" vertical="center" wrapText="1"/>
    </xf>
    <xf numFmtId="0" fontId="15" fillId="34" borderId="59" xfId="0" applyFont="1" applyFill="1" applyBorder="1" applyAlignment="1">
      <alignment horizontal="left" vertical="center" wrapText="1"/>
    </xf>
    <xf numFmtId="16" fontId="15" fillId="34" borderId="12" xfId="0" applyNumberFormat="1" applyFont="1" applyFill="1" applyBorder="1" applyAlignment="1">
      <alignment horizontal="left" vertical="center" wrapText="1"/>
    </xf>
    <xf numFmtId="0" fontId="15" fillId="34" borderId="12" xfId="0" applyFont="1" applyFill="1" applyBorder="1" applyAlignment="1">
      <alignment horizontal="left" vertical="center" wrapText="1"/>
    </xf>
    <xf numFmtId="172" fontId="15" fillId="34" borderId="12" xfId="0" applyNumberFormat="1" applyFont="1" applyFill="1" applyBorder="1" applyAlignment="1">
      <alignment horizontal="right" vertical="center" wrapText="1"/>
    </xf>
    <xf numFmtId="172" fontId="15" fillId="45" borderId="12" xfId="0" applyNumberFormat="1" applyFont="1" applyFill="1" applyBorder="1" applyAlignment="1">
      <alignment horizontal="right" vertical="center" wrapText="1"/>
    </xf>
    <xf numFmtId="16" fontId="15" fillId="40" borderId="64" xfId="0" applyNumberFormat="1" applyFont="1" applyFill="1" applyBorder="1" applyAlignment="1">
      <alignment horizontal="left" vertical="center" wrapText="1"/>
    </xf>
    <xf numFmtId="0" fontId="15" fillId="40" borderId="64" xfId="0" applyFont="1" applyFill="1" applyBorder="1" applyAlignment="1">
      <alignment horizontal="left" vertical="center" wrapText="1"/>
    </xf>
    <xf numFmtId="172" fontId="15" fillId="40" borderId="64" xfId="0" applyNumberFormat="1" applyFont="1" applyFill="1" applyBorder="1" applyAlignment="1">
      <alignment horizontal="right" vertical="center" wrapText="1"/>
    </xf>
    <xf numFmtId="16" fontId="15" fillId="38" borderId="63" xfId="0" applyNumberFormat="1" applyFont="1" applyFill="1" applyBorder="1" applyAlignment="1">
      <alignment horizontal="left" vertical="center" wrapText="1"/>
    </xf>
    <xf numFmtId="0" fontId="15" fillId="38" borderId="62" xfId="0" applyFont="1" applyFill="1" applyBorder="1" applyAlignment="1">
      <alignment horizontal="left" vertical="center" wrapText="1"/>
    </xf>
    <xf numFmtId="0" fontId="15" fillId="38" borderId="63" xfId="0" applyFont="1" applyFill="1" applyBorder="1" applyAlignment="1">
      <alignment horizontal="left" vertical="center" wrapText="1"/>
    </xf>
    <xf numFmtId="172" fontId="15" fillId="38" borderId="63" xfId="0" applyNumberFormat="1" applyFont="1" applyFill="1" applyBorder="1" applyAlignment="1">
      <alignment horizontal="right" vertical="center" wrapText="1"/>
    </xf>
    <xf numFmtId="172" fontId="15" fillId="38" borderId="62" xfId="0" applyNumberFormat="1" applyFont="1" applyFill="1" applyBorder="1" applyAlignment="1">
      <alignment horizontal="right" vertical="center" wrapText="1"/>
    </xf>
    <xf numFmtId="172" fontId="15" fillId="34" borderId="63" xfId="0" applyNumberFormat="1" applyFont="1" applyFill="1" applyBorder="1" applyAlignment="1">
      <alignment horizontal="right" vertical="center" wrapText="1"/>
    </xf>
    <xf numFmtId="172" fontId="15" fillId="34" borderId="64" xfId="0" applyNumberFormat="1" applyFont="1" applyFill="1" applyBorder="1" applyAlignment="1">
      <alignment horizontal="right" vertical="center" wrapText="1"/>
    </xf>
    <xf numFmtId="172" fontId="15" fillId="34" borderId="62" xfId="0" applyNumberFormat="1" applyFont="1" applyFill="1" applyBorder="1" applyAlignment="1">
      <alignment horizontal="right" vertical="center" wrapText="1"/>
    </xf>
    <xf numFmtId="16" fontId="15" fillId="34" borderId="63" xfId="0" applyNumberFormat="1" applyFont="1" applyFill="1" applyBorder="1" applyAlignment="1">
      <alignment horizontal="center" vertical="center" wrapText="1"/>
    </xf>
    <xf numFmtId="16" fontId="15" fillId="34" borderId="64" xfId="0" applyNumberFormat="1" applyFont="1" applyFill="1" applyBorder="1" applyAlignment="1">
      <alignment horizontal="center" vertical="center" wrapText="1"/>
    </xf>
    <xf numFmtId="16" fontId="15" fillId="34" borderId="62" xfId="0" applyNumberFormat="1" applyFont="1" applyFill="1" applyBorder="1" applyAlignment="1">
      <alignment horizontal="center" vertical="center" wrapText="1"/>
    </xf>
    <xf numFmtId="172" fontId="18" fillId="34" borderId="116" xfId="0" applyNumberFormat="1" applyFont="1" applyFill="1" applyBorder="1" applyAlignment="1">
      <alignment horizontal="right" vertical="center" wrapText="1"/>
    </xf>
    <xf numFmtId="172" fontId="18" fillId="34" borderId="78" xfId="0" applyNumberFormat="1" applyFont="1" applyFill="1" applyBorder="1" applyAlignment="1">
      <alignment horizontal="right" vertical="center" wrapText="1"/>
    </xf>
    <xf numFmtId="172" fontId="18" fillId="34" borderId="96" xfId="0" applyNumberFormat="1" applyFont="1" applyFill="1" applyBorder="1" applyAlignment="1">
      <alignment horizontal="right" vertical="center" wrapText="1"/>
    </xf>
    <xf numFmtId="172" fontId="15" fillId="34" borderId="116" xfId="0" applyNumberFormat="1" applyFont="1" applyFill="1" applyBorder="1" applyAlignment="1">
      <alignment horizontal="right" vertical="center" wrapText="1"/>
    </xf>
    <xf numFmtId="172" fontId="15" fillId="34" borderId="78" xfId="0" applyNumberFormat="1" applyFont="1" applyFill="1" applyBorder="1" applyAlignment="1">
      <alignment horizontal="right" vertical="center" wrapText="1"/>
    </xf>
    <xf numFmtId="172" fontId="18" fillId="34" borderId="112" xfId="53" applyNumberFormat="1" applyFont="1" applyFill="1" applyBorder="1" applyAlignment="1">
      <alignment horizontal="right" vertical="center" wrapText="1"/>
      <protection/>
    </xf>
    <xf numFmtId="172" fontId="18" fillId="34" borderId="78" xfId="53" applyNumberFormat="1" applyFont="1" applyFill="1" applyBorder="1" applyAlignment="1">
      <alignment horizontal="right" vertical="center" wrapText="1"/>
      <protection/>
    </xf>
    <xf numFmtId="172" fontId="18" fillId="34" borderId="96" xfId="53" applyNumberFormat="1" applyFont="1" applyFill="1" applyBorder="1" applyAlignment="1">
      <alignment horizontal="right" vertical="center" wrapText="1"/>
      <protection/>
    </xf>
    <xf numFmtId="0" fontId="15" fillId="34" borderId="103" xfId="0" applyFont="1" applyFill="1" applyBorder="1" applyAlignment="1">
      <alignment horizontal="center" vertical="center" wrapText="1"/>
    </xf>
    <xf numFmtId="0" fontId="15" fillId="34" borderId="98" xfId="0" applyFont="1" applyFill="1" applyBorder="1" applyAlignment="1">
      <alignment horizontal="center" vertical="center" wrapText="1"/>
    </xf>
    <xf numFmtId="0" fontId="15" fillId="34" borderId="125" xfId="0" applyFont="1" applyFill="1" applyBorder="1" applyAlignment="1">
      <alignment horizontal="center" vertical="center" wrapText="1"/>
    </xf>
    <xf numFmtId="172" fontId="18" fillId="34" borderId="116" xfId="53" applyNumberFormat="1" applyFont="1" applyFill="1" applyBorder="1" applyAlignment="1">
      <alignment horizontal="right" vertical="center" wrapText="1"/>
      <protection/>
    </xf>
    <xf numFmtId="172" fontId="18" fillId="34" borderId="77" xfId="53" applyNumberFormat="1" applyFont="1" applyFill="1" applyBorder="1" applyAlignment="1">
      <alignment horizontal="right" vertical="center" wrapText="1"/>
      <protection/>
    </xf>
    <xf numFmtId="16" fontId="15" fillId="34" borderId="99" xfId="0" applyNumberFormat="1" applyFont="1" applyFill="1" applyBorder="1" applyAlignment="1">
      <alignment horizontal="center" vertical="center" wrapText="1"/>
    </xf>
    <xf numFmtId="16" fontId="15" fillId="34" borderId="61" xfId="0" applyNumberFormat="1" applyFont="1" applyFill="1" applyBorder="1" applyAlignment="1">
      <alignment horizontal="center" vertical="center" wrapText="1"/>
    </xf>
    <xf numFmtId="16" fontId="15" fillId="34" borderId="59" xfId="0" applyNumberFormat="1" applyFont="1" applyFill="1" applyBorder="1" applyAlignment="1">
      <alignment horizontal="center" vertical="center" wrapText="1"/>
    </xf>
    <xf numFmtId="0" fontId="15" fillId="34" borderId="99" xfId="0" applyFont="1" applyFill="1" applyBorder="1" applyAlignment="1">
      <alignment horizontal="center" vertical="center" wrapText="1"/>
    </xf>
    <xf numFmtId="0" fontId="15" fillId="34" borderId="61" xfId="0" applyFont="1" applyFill="1" applyBorder="1" applyAlignment="1">
      <alignment horizontal="center" vertical="center" wrapText="1"/>
    </xf>
    <xf numFmtId="0" fontId="15" fillId="34" borderId="59" xfId="0" applyFont="1" applyFill="1" applyBorder="1" applyAlignment="1">
      <alignment horizontal="center" vertical="center" wrapText="1"/>
    </xf>
    <xf numFmtId="0" fontId="15" fillId="34" borderId="103" xfId="0" applyFont="1" applyFill="1" applyBorder="1" applyAlignment="1">
      <alignment horizontal="left" vertical="center" wrapText="1"/>
    </xf>
    <xf numFmtId="0" fontId="15" fillId="34" borderId="125" xfId="0" applyFont="1" applyFill="1" applyBorder="1" applyAlignment="1">
      <alignment horizontal="left" vertical="center" wrapText="1"/>
    </xf>
    <xf numFmtId="16" fontId="15" fillId="34" borderId="63" xfId="53" applyNumberFormat="1" applyFont="1" applyFill="1" applyBorder="1" applyAlignment="1">
      <alignment horizontal="left" vertical="center" wrapText="1"/>
      <protection/>
    </xf>
    <xf numFmtId="0" fontId="15" fillId="34" borderId="62" xfId="53" applyFont="1" applyFill="1" applyBorder="1" applyAlignment="1">
      <alignment horizontal="left" vertical="center" wrapText="1"/>
      <protection/>
    </xf>
    <xf numFmtId="172" fontId="15" fillId="34" borderId="63" xfId="54" applyNumberFormat="1" applyFont="1" applyFill="1" applyBorder="1" applyAlignment="1">
      <alignment horizontal="right" vertical="center" wrapText="1"/>
      <protection/>
    </xf>
    <xf numFmtId="172" fontId="15" fillId="34" borderId="62" xfId="54" applyNumberFormat="1" applyFont="1" applyFill="1" applyBorder="1" applyAlignment="1">
      <alignment horizontal="right" vertical="center" wrapText="1"/>
      <protection/>
    </xf>
    <xf numFmtId="16" fontId="15" fillId="34" borderId="63" xfId="54" applyNumberFormat="1" applyFont="1" applyFill="1" applyBorder="1" applyAlignment="1">
      <alignment horizontal="left" vertical="center" wrapText="1"/>
      <protection/>
    </xf>
    <xf numFmtId="0" fontId="15" fillId="34" borderId="62" xfId="54" applyFont="1" applyFill="1" applyBorder="1" applyAlignment="1">
      <alignment horizontal="left" vertical="center" wrapText="1"/>
      <protection/>
    </xf>
    <xf numFmtId="0" fontId="15" fillId="34" borderId="103" xfId="54" applyFont="1" applyFill="1" applyBorder="1" applyAlignment="1">
      <alignment horizontal="left" vertical="center" wrapText="1"/>
      <protection/>
    </xf>
    <xf numFmtId="0" fontId="15" fillId="34" borderId="125" xfId="54" applyFont="1" applyFill="1" applyBorder="1" applyAlignment="1">
      <alignment horizontal="left" vertical="center" wrapText="1"/>
      <protection/>
    </xf>
    <xf numFmtId="172" fontId="15" fillId="34" borderId="63" xfId="54" applyNumberFormat="1" applyFont="1" applyFill="1" applyBorder="1" applyAlignment="1">
      <alignment horizontal="right" vertical="top" wrapText="1"/>
      <protection/>
    </xf>
    <xf numFmtId="172" fontId="15" fillId="34" borderId="62" xfId="54" applyNumberFormat="1" applyFont="1" applyFill="1" applyBorder="1" applyAlignment="1">
      <alignment horizontal="right" vertical="top" wrapText="1"/>
      <protection/>
    </xf>
    <xf numFmtId="16" fontId="15" fillId="0" borderId="61" xfId="54" applyNumberFormat="1" applyFont="1" applyFill="1" applyBorder="1" applyAlignment="1">
      <alignment horizontal="left" vertical="center" wrapText="1"/>
      <protection/>
    </xf>
    <xf numFmtId="0" fontId="15" fillId="0" borderId="59" xfId="54" applyFont="1" applyFill="1" applyBorder="1" applyAlignment="1">
      <alignment horizontal="left" vertical="center" wrapText="1"/>
      <protection/>
    </xf>
    <xf numFmtId="0" fontId="15" fillId="0" borderId="16" xfId="54" applyFont="1" applyFill="1" applyBorder="1" applyAlignment="1">
      <alignment horizontal="left" vertical="center" wrapText="1"/>
      <protection/>
    </xf>
    <xf numFmtId="0" fontId="15" fillId="0" borderId="88" xfId="54" applyFont="1" applyFill="1" applyBorder="1" applyAlignment="1">
      <alignment horizontal="left" vertical="center" wrapText="1"/>
      <protection/>
    </xf>
    <xf numFmtId="172" fontId="15" fillId="34" borderId="64" xfId="54" applyNumberFormat="1" applyFont="1" applyFill="1" applyBorder="1" applyAlignment="1">
      <alignment horizontal="right" vertical="center" wrapText="1"/>
      <protection/>
    </xf>
    <xf numFmtId="0" fontId="15" fillId="34" borderId="99" xfId="54" applyFont="1" applyFill="1" applyBorder="1" applyAlignment="1">
      <alignment horizontal="left" vertical="center" wrapText="1"/>
      <protection/>
    </xf>
    <xf numFmtId="0" fontId="15" fillId="34" borderId="59" xfId="54" applyFont="1" applyFill="1" applyBorder="1" applyAlignment="1">
      <alignment horizontal="left" vertical="center" wrapText="1"/>
      <protection/>
    </xf>
    <xf numFmtId="16" fontId="15" fillId="34" borderId="99" xfId="54" applyNumberFormat="1" applyFont="1" applyFill="1" applyBorder="1" applyAlignment="1">
      <alignment horizontal="left" vertical="center" wrapText="1"/>
      <protection/>
    </xf>
    <xf numFmtId="0" fontId="18" fillId="34" borderId="16" xfId="54" applyFont="1" applyFill="1" applyBorder="1" applyAlignment="1">
      <alignment horizontal="center" vertical="center" wrapText="1"/>
      <protection/>
    </xf>
    <xf numFmtId="0" fontId="18" fillId="34" borderId="46" xfId="54" applyFont="1" applyFill="1" applyBorder="1" applyAlignment="1">
      <alignment horizontal="center" vertical="center" wrapText="1"/>
      <protection/>
    </xf>
    <xf numFmtId="10" fontId="18" fillId="34" borderId="111" xfId="54" applyNumberFormat="1" applyFont="1" applyFill="1" applyBorder="1" applyAlignment="1">
      <alignment horizontal="center" vertical="center" wrapText="1"/>
      <protection/>
    </xf>
    <xf numFmtId="10" fontId="18" fillId="34" borderId="97" xfId="54" applyNumberFormat="1" applyFont="1" applyFill="1" applyBorder="1" applyAlignment="1">
      <alignment horizontal="center" vertical="center" wrapText="1"/>
      <protection/>
    </xf>
    <xf numFmtId="0" fontId="15" fillId="43" borderId="63" xfId="0" applyFont="1" applyFill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15" fillId="43" borderId="61" xfId="0" applyFont="1" applyFill="1" applyBorder="1" applyAlignment="1">
      <alignment horizontal="center" vertical="center" wrapText="1"/>
    </xf>
    <xf numFmtId="0" fontId="15" fillId="43" borderId="0" xfId="0" applyFont="1" applyFill="1" applyBorder="1" applyAlignment="1">
      <alignment horizontal="center" vertical="center" wrapText="1"/>
    </xf>
    <xf numFmtId="0" fontId="15" fillId="43" borderId="39" xfId="0" applyFont="1" applyFill="1" applyBorder="1" applyAlignment="1">
      <alignment horizontal="center" vertical="center" wrapText="1"/>
    </xf>
    <xf numFmtId="0" fontId="15" fillId="38" borderId="64" xfId="0" applyFont="1" applyFill="1" applyBorder="1" applyAlignment="1">
      <alignment horizontal="left" vertical="center" wrapText="1"/>
    </xf>
    <xf numFmtId="172" fontId="15" fillId="38" borderId="116" xfId="0" applyNumberFormat="1" applyFont="1" applyFill="1" applyBorder="1" applyAlignment="1">
      <alignment horizontal="right" vertical="center" wrapText="1"/>
    </xf>
    <xf numFmtId="172" fontId="15" fillId="38" borderId="78" xfId="0" applyNumberFormat="1" applyFont="1" applyFill="1" applyBorder="1" applyAlignment="1">
      <alignment horizontal="right" vertical="center" wrapText="1"/>
    </xf>
    <xf numFmtId="0" fontId="15" fillId="40" borderId="63" xfId="0" applyFont="1" applyFill="1" applyBorder="1" applyAlignment="1">
      <alignment horizontal="center" vertical="center" wrapText="1"/>
    </xf>
    <xf numFmtId="0" fontId="15" fillId="40" borderId="62" xfId="0" applyFont="1" applyFill="1" applyBorder="1" applyAlignment="1">
      <alignment horizontal="center" vertical="center" wrapText="1"/>
    </xf>
    <xf numFmtId="0" fontId="15" fillId="43" borderId="116" xfId="0" applyFont="1" applyFill="1" applyBorder="1" applyAlignment="1">
      <alignment horizontal="center" vertical="center" wrapText="1"/>
    </xf>
    <xf numFmtId="0" fontId="15" fillId="43" borderId="77" xfId="0" applyFont="1" applyFill="1" applyBorder="1" applyAlignment="1">
      <alignment horizontal="center" vertical="center" wrapText="1"/>
    </xf>
    <xf numFmtId="0" fontId="15" fillId="43" borderId="62" xfId="0" applyFont="1" applyFill="1" applyBorder="1" applyAlignment="1">
      <alignment horizontal="center" vertical="center" wrapText="1"/>
    </xf>
    <xf numFmtId="172" fontId="15" fillId="38" borderId="64" xfId="0" applyNumberFormat="1" applyFont="1" applyFill="1" applyBorder="1" applyAlignment="1">
      <alignment horizontal="right" vertical="center" wrapText="1"/>
    </xf>
    <xf numFmtId="16" fontId="15" fillId="38" borderId="64" xfId="0" applyNumberFormat="1" applyFont="1" applyFill="1" applyBorder="1" applyAlignment="1">
      <alignment horizontal="left" vertical="center" wrapText="1"/>
    </xf>
    <xf numFmtId="0" fontId="15" fillId="0" borderId="130" xfId="0" applyFont="1" applyBorder="1" applyAlignment="1">
      <alignment horizontal="left" vertical="top" wrapText="1"/>
    </xf>
    <xf numFmtId="0" fontId="15" fillId="42" borderId="41" xfId="0" applyFont="1" applyFill="1" applyBorder="1" applyAlignment="1">
      <alignment horizontal="right" vertical="center" wrapText="1"/>
    </xf>
    <xf numFmtId="0" fontId="15" fillId="42" borderId="32" xfId="0" applyFont="1" applyFill="1" applyBorder="1" applyAlignment="1">
      <alignment horizontal="right" vertical="center" wrapText="1"/>
    </xf>
    <xf numFmtId="0" fontId="18" fillId="43" borderId="63" xfId="0" applyFont="1" applyFill="1" applyBorder="1" applyAlignment="1">
      <alignment horizontal="center" vertical="center" wrapText="1"/>
    </xf>
    <xf numFmtId="0" fontId="18" fillId="43" borderId="62" xfId="0" applyFont="1" applyFill="1" applyBorder="1" applyAlignment="1">
      <alignment horizontal="center" vertical="center" wrapText="1"/>
    </xf>
    <xf numFmtId="0" fontId="15" fillId="40" borderId="64" xfId="0" applyFont="1" applyFill="1" applyBorder="1" applyAlignment="1">
      <alignment horizontal="center" vertical="center" wrapText="1"/>
    </xf>
    <xf numFmtId="0" fontId="15" fillId="40" borderId="122" xfId="0" applyFont="1" applyFill="1" applyBorder="1" applyAlignment="1">
      <alignment horizontal="center" vertical="center" wrapText="1"/>
    </xf>
    <xf numFmtId="0" fontId="15" fillId="13" borderId="131" xfId="0" applyFont="1" applyFill="1" applyBorder="1" applyAlignment="1">
      <alignment horizontal="center" vertical="center" wrapText="1"/>
    </xf>
    <xf numFmtId="0" fontId="15" fillId="13" borderId="22" xfId="0" applyFont="1" applyFill="1" applyBorder="1" applyAlignment="1">
      <alignment horizontal="center" vertical="center" wrapText="1"/>
    </xf>
    <xf numFmtId="0" fontId="15" fillId="13" borderId="36" xfId="0" applyFont="1" applyFill="1" applyBorder="1" applyAlignment="1">
      <alignment horizontal="center" vertical="center" wrapText="1"/>
    </xf>
    <xf numFmtId="0" fontId="15" fillId="13" borderId="103" xfId="0" applyFont="1" applyFill="1" applyBorder="1" applyAlignment="1">
      <alignment horizontal="center" vertical="center" wrapText="1"/>
    </xf>
    <xf numFmtId="0" fontId="15" fillId="13" borderId="98" xfId="0" applyFont="1" applyFill="1" applyBorder="1" applyAlignment="1">
      <alignment horizontal="center" vertical="center" wrapText="1"/>
    </xf>
    <xf numFmtId="0" fontId="15" fillId="13" borderId="63" xfId="0" applyFont="1" applyFill="1" applyBorder="1" applyAlignment="1">
      <alignment horizontal="center" vertical="center" wrapText="1"/>
    </xf>
    <xf numFmtId="0" fontId="15" fillId="13" borderId="64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top" wrapText="1"/>
    </xf>
    <xf numFmtId="0" fontId="3" fillId="13" borderId="131" xfId="0" applyFont="1" applyFill="1" applyBorder="1" applyAlignment="1">
      <alignment horizontal="center" vertical="center" wrapText="1"/>
    </xf>
    <xf numFmtId="0" fontId="3" fillId="13" borderId="22" xfId="0" applyFont="1" applyFill="1" applyBorder="1" applyAlignment="1">
      <alignment horizontal="center" vertical="center" wrapText="1"/>
    </xf>
    <xf numFmtId="0" fontId="3" fillId="13" borderId="36" xfId="0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88" xfId="0" applyFont="1" applyBorder="1" applyAlignment="1">
      <alignment horizontal="center" vertical="center" wrapText="1"/>
    </xf>
    <xf numFmtId="0" fontId="3" fillId="13" borderId="16" xfId="0" applyFont="1" applyFill="1" applyBorder="1" applyAlignment="1">
      <alignment horizontal="center" vertical="center" wrapText="1"/>
    </xf>
    <xf numFmtId="0" fontId="3" fillId="13" borderId="88" xfId="0" applyFont="1" applyFill="1" applyBorder="1" applyAlignment="1">
      <alignment horizontal="center" vertical="center" wrapText="1"/>
    </xf>
    <xf numFmtId="0" fontId="11" fillId="13" borderId="54" xfId="0" applyFont="1" applyFill="1" applyBorder="1" applyAlignment="1">
      <alignment horizontal="center" vertical="center" wrapText="1"/>
    </xf>
    <xf numFmtId="0" fontId="11" fillId="13" borderId="29" xfId="0" applyFont="1" applyFill="1" applyBorder="1" applyAlignment="1">
      <alignment horizontal="center" vertical="center" wrapText="1"/>
    </xf>
    <xf numFmtId="0" fontId="11" fillId="13" borderId="55" xfId="0" applyFont="1" applyFill="1" applyBorder="1" applyAlignment="1">
      <alignment horizontal="center" vertical="center" wrapText="1"/>
    </xf>
    <xf numFmtId="0" fontId="11" fillId="13" borderId="132" xfId="0" applyFont="1" applyFill="1" applyBorder="1" applyAlignment="1">
      <alignment horizontal="center" vertical="center" wrapText="1"/>
    </xf>
    <xf numFmtId="0" fontId="11" fillId="13" borderId="56" xfId="0" applyFont="1" applyFill="1" applyBorder="1" applyAlignment="1">
      <alignment horizontal="center" vertical="center" wrapText="1"/>
    </xf>
    <xf numFmtId="0" fontId="11" fillId="13" borderId="133" xfId="0" applyFont="1" applyFill="1" applyBorder="1" applyAlignment="1">
      <alignment horizontal="center" vertical="center" wrapText="1"/>
    </xf>
    <xf numFmtId="0" fontId="4" fillId="0" borderId="46" xfId="0" applyNumberFormat="1" applyFont="1" applyFill="1" applyBorder="1" applyAlignment="1">
      <alignment horizontal="center" vertical="center" wrapText="1"/>
    </xf>
    <xf numFmtId="0" fontId="4" fillId="46" borderId="86" xfId="0" applyNumberFormat="1" applyFont="1" applyFill="1" applyBorder="1" applyAlignment="1">
      <alignment horizontal="left" vertical="center" wrapText="1"/>
    </xf>
    <xf numFmtId="0" fontId="4" fillId="46" borderId="4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88" xfId="0" applyNumberFormat="1" applyFont="1" applyFill="1" applyBorder="1" applyAlignment="1">
      <alignment horizontal="center" vertical="center" wrapText="1"/>
    </xf>
    <xf numFmtId="0" fontId="4" fillId="0" borderId="88" xfId="0" applyNumberFormat="1" applyFont="1" applyFill="1" applyBorder="1" applyAlignment="1">
      <alignment horizontal="center" vertical="center" wrapText="1"/>
    </xf>
    <xf numFmtId="0" fontId="3" fillId="33" borderId="86" xfId="0" applyFont="1" applyFill="1" applyBorder="1" applyAlignment="1">
      <alignment horizontal="left" vertical="center" wrapText="1"/>
    </xf>
    <xf numFmtId="0" fontId="3" fillId="33" borderId="115" xfId="0" applyFont="1" applyFill="1" applyBorder="1" applyAlignment="1">
      <alignment horizontal="left" vertical="center"/>
    </xf>
    <xf numFmtId="0" fontId="3" fillId="33" borderId="94" xfId="0" applyFont="1" applyFill="1" applyBorder="1" applyAlignment="1">
      <alignment horizontal="left" vertical="center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46" xfId="0" applyNumberFormat="1" applyFont="1" applyFill="1" applyBorder="1" applyAlignment="1">
      <alignment horizontal="center" vertical="center" wrapText="1"/>
    </xf>
    <xf numFmtId="0" fontId="3" fillId="0" borderId="88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0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0" fontId="3" fillId="13" borderId="44" xfId="0" applyFont="1" applyFill="1" applyBorder="1" applyAlignment="1">
      <alignment horizontal="center" vertical="center" wrapText="1"/>
    </xf>
    <xf numFmtId="0" fontId="3" fillId="13" borderId="51" xfId="0" applyFont="1" applyFill="1" applyBorder="1" applyAlignment="1">
      <alignment horizontal="center" vertical="center" wrapText="1"/>
    </xf>
    <xf numFmtId="0" fontId="5" fillId="34" borderId="86" xfId="0" applyFont="1" applyFill="1" applyBorder="1" applyAlignment="1">
      <alignment horizontal="left" vertical="center"/>
    </xf>
    <xf numFmtId="0" fontId="5" fillId="34" borderId="40" xfId="0" applyFont="1" applyFill="1" applyBorder="1" applyAlignment="1">
      <alignment horizontal="left" vertical="center"/>
    </xf>
    <xf numFmtId="0" fontId="43" fillId="0" borderId="0" xfId="0" applyFont="1" applyFill="1" applyAlignment="1">
      <alignment wrapText="1"/>
    </xf>
    <xf numFmtId="0" fontId="42" fillId="0" borderId="0" xfId="0" applyFont="1" applyAlignment="1">
      <alignment wrapText="1"/>
    </xf>
    <xf numFmtId="0" fontId="43" fillId="13" borderId="16" xfId="0" applyFont="1" applyFill="1" applyBorder="1" applyAlignment="1">
      <alignment horizontal="center" vertical="center" wrapText="1"/>
    </xf>
    <xf numFmtId="0" fontId="43" fillId="13" borderId="88" xfId="0" applyFont="1" applyFill="1" applyBorder="1" applyAlignment="1">
      <alignment horizontal="center" vertical="center" wrapText="1"/>
    </xf>
    <xf numFmtId="0" fontId="43" fillId="13" borderId="131" xfId="0" applyFont="1" applyFill="1" applyBorder="1" applyAlignment="1">
      <alignment horizontal="center" vertical="center" wrapText="1"/>
    </xf>
    <xf numFmtId="0" fontId="43" fillId="13" borderId="22" xfId="0" applyFont="1" applyFill="1" applyBorder="1" applyAlignment="1">
      <alignment horizontal="center" vertical="center" wrapText="1"/>
    </xf>
    <xf numFmtId="0" fontId="43" fillId="13" borderId="36" xfId="0" applyFont="1" applyFill="1" applyBorder="1" applyAlignment="1">
      <alignment horizontal="center" vertical="center" wrapText="1"/>
    </xf>
    <xf numFmtId="0" fontId="43" fillId="13" borderId="46" xfId="0" applyFont="1" applyFill="1" applyBorder="1" applyAlignment="1">
      <alignment horizontal="center" vertical="center" wrapText="1"/>
    </xf>
    <xf numFmtId="0" fontId="43" fillId="9" borderId="12" xfId="0" applyFont="1" applyFill="1" applyBorder="1" applyAlignment="1">
      <alignment horizontal="center" vertical="center"/>
    </xf>
    <xf numFmtId="0" fontId="43" fillId="9" borderId="12" xfId="0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center"/>
    </xf>
  </cellXfs>
  <cellStyles count="55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2 2" xfId="52"/>
    <cellStyle name="Normalno 2" xfId="53"/>
    <cellStyle name="Normalno 3" xfId="54"/>
    <cellStyle name="Normalno 4" xfId="55"/>
    <cellStyle name="Obično_Prilog 5" xfId="56"/>
    <cellStyle name="Percent" xfId="57"/>
    <cellStyle name="Povezana ćelija" xfId="58"/>
    <cellStyle name="Followed Hyperlink" xfId="59"/>
    <cellStyle name="Provjera ćelije" xfId="60"/>
    <cellStyle name="Tekst objašnjenja" xfId="61"/>
    <cellStyle name="Tekst upozorenja" xfId="62"/>
    <cellStyle name="Ukupni zbroj" xfId="63"/>
    <cellStyle name="Unos" xfId="64"/>
    <cellStyle name="Currency" xfId="65"/>
    <cellStyle name="Currency [0]" xfId="66"/>
    <cellStyle name="Comma" xfId="67"/>
    <cellStyle name="Comma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495300</xdr:colOff>
      <xdr:row>14</xdr:row>
      <xdr:rowOff>76200</xdr:rowOff>
    </xdr:from>
    <xdr:ext cx="3105150" cy="171450"/>
    <xdr:sp>
      <xdr:nvSpPr>
        <xdr:cNvPr id="1" name="Rectangle 1"/>
        <xdr:cNvSpPr>
          <a:spLocks/>
        </xdr:cNvSpPr>
      </xdr:nvSpPr>
      <xdr:spPr>
        <a:xfrm>
          <a:off x="5743575" y="4419600"/>
          <a:ext cx="3105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5000" b="1" i="0" u="none" baseline="0">
              <a:solidFill>
                <a:srgbClr val="FFFFCC"/>
              </a:solidFill>
            </a:rPr>
            <a:t>DRAFT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93"/>
  <sheetViews>
    <sheetView tabSelected="1" zoomScale="80" zoomScaleNormal="80" zoomScalePageLayoutView="0" workbookViewId="0" topLeftCell="A1">
      <selection activeCell="C4" sqref="C4"/>
    </sheetView>
  </sheetViews>
  <sheetFormatPr defaultColWidth="9.140625" defaultRowHeight="12.75"/>
  <cols>
    <col min="1" max="1" width="11.140625" style="181" customWidth="1"/>
    <col min="2" max="2" width="44.140625" style="181" customWidth="1"/>
    <col min="3" max="5" width="33.140625" style="181" customWidth="1"/>
    <col min="6" max="6" width="23.28125" style="181" customWidth="1"/>
    <col min="7" max="13" width="22.8515625" style="181" customWidth="1"/>
    <col min="14" max="14" width="24.7109375" style="181" customWidth="1"/>
    <col min="15" max="15" width="24.57421875" style="181" customWidth="1"/>
    <col min="16" max="16" width="27.28125" style="181" customWidth="1"/>
    <col min="17" max="17" width="9.140625" style="181" customWidth="1"/>
    <col min="18" max="19" width="15.28125" style="181" bestFit="1" customWidth="1"/>
    <col min="20" max="20" width="9.140625" style="181" customWidth="1"/>
    <col min="21" max="21" width="19.28125" style="181" customWidth="1"/>
    <col min="22" max="22" width="15.28125" style="181" bestFit="1" customWidth="1"/>
    <col min="23" max="23" width="9.140625" style="181" customWidth="1"/>
    <col min="24" max="24" width="19.28125" style="181" customWidth="1"/>
    <col min="25" max="16384" width="9.140625" style="181" customWidth="1"/>
  </cols>
  <sheetData>
    <row r="1" s="179" customFormat="1" ht="53.25" customHeight="1" thickBot="1">
      <c r="A1" s="179" t="s">
        <v>82</v>
      </c>
    </row>
    <row r="2" spans="1:15" ht="50.25" customHeight="1" thickBot="1">
      <c r="A2" s="898" t="s">
        <v>77</v>
      </c>
      <c r="B2" s="880" t="s">
        <v>74</v>
      </c>
      <c r="C2" s="882" t="s">
        <v>70</v>
      </c>
      <c r="D2" s="883"/>
      <c r="E2" s="883"/>
      <c r="F2" s="883"/>
      <c r="G2" s="883"/>
      <c r="H2" s="883"/>
      <c r="I2" s="883"/>
      <c r="J2" s="884"/>
      <c r="K2" s="890" t="s">
        <v>656</v>
      </c>
      <c r="L2" s="880" t="s">
        <v>655</v>
      </c>
      <c r="M2" s="880" t="s">
        <v>657</v>
      </c>
      <c r="N2" s="880" t="s">
        <v>658</v>
      </c>
      <c r="O2" s="880" t="s">
        <v>659</v>
      </c>
    </row>
    <row r="3" spans="1:15" ht="13.5" thickBot="1">
      <c r="A3" s="899"/>
      <c r="B3" s="881"/>
      <c r="C3" s="533" t="s">
        <v>73</v>
      </c>
      <c r="D3" s="534" t="s">
        <v>72</v>
      </c>
      <c r="E3" s="534" t="s">
        <v>76</v>
      </c>
      <c r="F3" s="534" t="s">
        <v>671</v>
      </c>
      <c r="G3" s="534" t="s">
        <v>652</v>
      </c>
      <c r="H3" s="534" t="s">
        <v>653</v>
      </c>
      <c r="I3" s="534" t="s">
        <v>654</v>
      </c>
      <c r="J3" s="535" t="s">
        <v>665</v>
      </c>
      <c r="K3" s="891"/>
      <c r="L3" s="892"/>
      <c r="M3" s="892"/>
      <c r="N3" s="892"/>
      <c r="O3" s="892"/>
    </row>
    <row r="4" spans="1:15" ht="60" customHeight="1" thickBot="1">
      <c r="A4" s="826" t="s">
        <v>71</v>
      </c>
      <c r="B4" s="828" t="s">
        <v>118</v>
      </c>
      <c r="C4" s="277" t="s">
        <v>323</v>
      </c>
      <c r="D4" s="647" t="s">
        <v>268</v>
      </c>
      <c r="E4" s="499" t="s">
        <v>271</v>
      </c>
      <c r="F4" s="527" t="s">
        <v>666</v>
      </c>
      <c r="G4" s="527">
        <v>8600</v>
      </c>
      <c r="H4" s="527">
        <v>8700</v>
      </c>
      <c r="I4" s="531">
        <v>8800</v>
      </c>
      <c r="J4" s="532">
        <v>8905</v>
      </c>
      <c r="K4" s="886">
        <f>SUM(K7+K29+K36+K43+K80)</f>
        <v>26006638.746</v>
      </c>
      <c r="L4" s="829">
        <f>SUM(L7+L29+L36+L43+L80)</f>
        <v>47492189.946</v>
      </c>
      <c r="M4" s="829">
        <f>SUM(M7+M29+M36+M43+M80)</f>
        <v>75997635.40318751</v>
      </c>
      <c r="N4" s="829">
        <f>SUM(N7+N29+N36+N43+N80)</f>
        <v>38761350.0245625</v>
      </c>
      <c r="O4" s="829">
        <f>SUM(O7+O29+O36+O43+O80)</f>
        <v>16776560.263839584</v>
      </c>
    </row>
    <row r="5" spans="1:16" ht="71.25" customHeight="1" thickBot="1">
      <c r="A5" s="894"/>
      <c r="B5" s="885"/>
      <c r="C5" s="277" t="s">
        <v>266</v>
      </c>
      <c r="D5" s="647" t="s">
        <v>269</v>
      </c>
      <c r="E5" s="499" t="s">
        <v>272</v>
      </c>
      <c r="F5" s="518" t="s">
        <v>667</v>
      </c>
      <c r="G5" s="519">
        <v>1.92</v>
      </c>
      <c r="H5" s="519">
        <v>1.94</v>
      </c>
      <c r="I5" s="529">
        <v>1.96</v>
      </c>
      <c r="J5" s="530">
        <v>2</v>
      </c>
      <c r="K5" s="887"/>
      <c r="L5" s="893"/>
      <c r="M5" s="893"/>
      <c r="N5" s="893"/>
      <c r="O5" s="893"/>
      <c r="P5" s="237"/>
    </row>
    <row r="6" spans="1:15" ht="39" thickBot="1">
      <c r="A6" s="827"/>
      <c r="B6" s="827"/>
      <c r="C6" s="277" t="s">
        <v>267</v>
      </c>
      <c r="D6" s="647" t="s">
        <v>270</v>
      </c>
      <c r="E6" s="499" t="s">
        <v>273</v>
      </c>
      <c r="F6" s="517" t="s">
        <v>668</v>
      </c>
      <c r="G6" s="517">
        <v>59000</v>
      </c>
      <c r="H6" s="517">
        <v>63000</v>
      </c>
      <c r="I6" s="517">
        <v>66000</v>
      </c>
      <c r="J6" s="527">
        <v>70000</v>
      </c>
      <c r="K6" s="830"/>
      <c r="L6" s="830"/>
      <c r="M6" s="830"/>
      <c r="N6" s="830"/>
      <c r="O6" s="830"/>
    </row>
    <row r="7" spans="1:25" s="153" customFormat="1" ht="29.25" customHeight="1" thickBot="1">
      <c r="A7" s="806" t="s">
        <v>128</v>
      </c>
      <c r="B7" s="808" t="s">
        <v>119</v>
      </c>
      <c r="C7" s="278"/>
      <c r="D7" s="646"/>
      <c r="E7" s="646"/>
      <c r="F7" s="188"/>
      <c r="G7" s="188"/>
      <c r="H7" s="188"/>
      <c r="I7" s="188"/>
      <c r="J7" s="644"/>
      <c r="K7" s="731">
        <f>K9+K12+K15+K20+K24+K27</f>
        <v>17246477.636</v>
      </c>
      <c r="L7" s="731">
        <f>L9+L12+L15+L20+L24+L27</f>
        <v>22959482.686</v>
      </c>
      <c r="M7" s="731">
        <f>M9+M12+M15+M20+M24+M27</f>
        <v>14275279.3385</v>
      </c>
      <c r="N7" s="731">
        <f>N9+N12+N15+N20+N24+N27</f>
        <v>12149894.273625001</v>
      </c>
      <c r="O7" s="731">
        <f>O9+O12+O15+O20+O24+O27</f>
        <v>9347852.20550625</v>
      </c>
      <c r="P7" s="181"/>
      <c r="Q7" s="181"/>
      <c r="R7" s="181"/>
      <c r="S7" s="181"/>
      <c r="T7" s="181"/>
      <c r="U7" s="181"/>
      <c r="V7" s="181"/>
      <c r="W7" s="181"/>
      <c r="X7" s="181"/>
      <c r="Y7" s="181"/>
    </row>
    <row r="8" spans="1:25" s="153" customFormat="1" ht="29.25" customHeight="1" thickBot="1">
      <c r="A8" s="823"/>
      <c r="B8" s="824"/>
      <c r="C8" s="279"/>
      <c r="D8" s="645"/>
      <c r="E8" s="645"/>
      <c r="F8" s="188"/>
      <c r="G8" s="188"/>
      <c r="H8" s="188"/>
      <c r="I8" s="188"/>
      <c r="J8" s="645"/>
      <c r="K8" s="825"/>
      <c r="L8" s="825"/>
      <c r="M8" s="825"/>
      <c r="N8" s="825"/>
      <c r="O8" s="825"/>
      <c r="P8" s="237"/>
      <c r="Q8" s="181"/>
      <c r="R8" s="181"/>
      <c r="S8" s="181"/>
      <c r="T8" s="181"/>
      <c r="U8" s="181"/>
      <c r="V8" s="181"/>
      <c r="W8" s="181"/>
      <c r="X8" s="181"/>
      <c r="Y8" s="181"/>
    </row>
    <row r="9" spans="1:15" ht="57.75" customHeight="1" thickBot="1">
      <c r="A9" s="510" t="s">
        <v>121</v>
      </c>
      <c r="B9" s="511" t="s">
        <v>120</v>
      </c>
      <c r="C9" s="509" t="s">
        <v>265</v>
      </c>
      <c r="D9" s="516" t="s">
        <v>277</v>
      </c>
      <c r="E9" s="291" t="s">
        <v>276</v>
      </c>
      <c r="F9" s="428" t="s">
        <v>669</v>
      </c>
      <c r="G9" s="429">
        <v>6</v>
      </c>
      <c r="H9" s="429">
        <v>7</v>
      </c>
      <c r="I9" s="536">
        <v>8</v>
      </c>
      <c r="J9" s="456">
        <v>10</v>
      </c>
      <c r="K9" s="558">
        <f>K10+K11</f>
        <v>2635231</v>
      </c>
      <c r="L9" s="559">
        <f>L10+L11</f>
        <v>2338964</v>
      </c>
      <c r="M9" s="559">
        <f>M10+M11</f>
        <v>2345475</v>
      </c>
      <c r="N9" s="559">
        <f>N10+N11</f>
        <v>2351790</v>
      </c>
      <c r="O9" s="560">
        <f>O10+O11</f>
        <v>2359433</v>
      </c>
    </row>
    <row r="10" spans="1:15" ht="26.25" thickBot="1">
      <c r="A10" s="284"/>
      <c r="B10" s="284" t="s">
        <v>303</v>
      </c>
      <c r="C10" s="285"/>
      <c r="D10" s="285"/>
      <c r="E10" s="285"/>
      <c r="F10" s="285"/>
      <c r="G10" s="285"/>
      <c r="H10" s="285"/>
      <c r="I10" s="285"/>
      <c r="J10" s="285"/>
      <c r="K10" s="286">
        <v>2300000</v>
      </c>
      <c r="L10" s="286">
        <v>2000000</v>
      </c>
      <c r="M10" s="286">
        <v>2000000</v>
      </c>
      <c r="N10" s="286">
        <v>2000000</v>
      </c>
      <c r="O10" s="286">
        <v>2000000</v>
      </c>
    </row>
    <row r="11" spans="1:15" ht="64.5" thickBot="1">
      <c r="A11" s="392"/>
      <c r="B11" s="284" t="s">
        <v>304</v>
      </c>
      <c r="C11" s="287"/>
      <c r="D11" s="287"/>
      <c r="E11" s="287"/>
      <c r="F11" s="285"/>
      <c r="G11" s="285"/>
      <c r="H11" s="285"/>
      <c r="I11" s="285"/>
      <c r="J11" s="287"/>
      <c r="K11" s="393">
        <v>335231</v>
      </c>
      <c r="L11" s="393">
        <v>338964</v>
      </c>
      <c r="M11" s="393">
        <v>345475</v>
      </c>
      <c r="N11" s="393">
        <v>351790</v>
      </c>
      <c r="O11" s="393">
        <v>359433</v>
      </c>
    </row>
    <row r="12" spans="1:15" ht="80.25" customHeight="1" thickBot="1">
      <c r="A12" s="506" t="s">
        <v>122</v>
      </c>
      <c r="B12" s="505" t="s">
        <v>134</v>
      </c>
      <c r="C12" s="289" t="s">
        <v>275</v>
      </c>
      <c r="D12" s="290" t="s">
        <v>278</v>
      </c>
      <c r="E12" s="291" t="s">
        <v>279</v>
      </c>
      <c r="F12" s="428" t="s">
        <v>670</v>
      </c>
      <c r="G12" s="429">
        <v>50</v>
      </c>
      <c r="H12" s="429">
        <v>50</v>
      </c>
      <c r="I12" s="536">
        <v>50</v>
      </c>
      <c r="J12" s="456">
        <v>50</v>
      </c>
      <c r="K12" s="558">
        <f>SUM(K13:K14)</f>
        <v>246450</v>
      </c>
      <c r="L12" s="559">
        <f>SUM(L13:L14)</f>
        <v>246450</v>
      </c>
      <c r="M12" s="559">
        <f>SUM(M13:M14)</f>
        <v>246450</v>
      </c>
      <c r="N12" s="559">
        <f>SUM(N13:N14)</f>
        <v>246450</v>
      </c>
      <c r="O12" s="560">
        <f>SUM(O13:O14)</f>
        <v>246450</v>
      </c>
    </row>
    <row r="13" spans="1:15" ht="26.25" thickBot="1">
      <c r="A13" s="284"/>
      <c r="B13" s="292" t="s">
        <v>305</v>
      </c>
      <c r="C13" s="285"/>
      <c r="D13" s="285"/>
      <c r="E13" s="285"/>
      <c r="F13" s="285"/>
      <c r="G13" s="285"/>
      <c r="H13" s="285"/>
      <c r="I13" s="285"/>
      <c r="J13" s="285"/>
      <c r="K13" s="286">
        <v>135300</v>
      </c>
      <c r="L13" s="286">
        <v>135300</v>
      </c>
      <c r="M13" s="286">
        <v>135300</v>
      </c>
      <c r="N13" s="286">
        <v>135300</v>
      </c>
      <c r="O13" s="286">
        <v>135300</v>
      </c>
    </row>
    <row r="14" spans="1:15" ht="51.75" thickBot="1">
      <c r="A14" s="284"/>
      <c r="B14" s="292" t="s">
        <v>324</v>
      </c>
      <c r="C14" s="285"/>
      <c r="D14" s="285"/>
      <c r="E14" s="285"/>
      <c r="F14" s="285"/>
      <c r="G14" s="285"/>
      <c r="H14" s="285"/>
      <c r="I14" s="285"/>
      <c r="J14" s="287"/>
      <c r="K14" s="393">
        <v>111150</v>
      </c>
      <c r="L14" s="393">
        <v>111150</v>
      </c>
      <c r="M14" s="393">
        <v>111150</v>
      </c>
      <c r="N14" s="393">
        <v>111150</v>
      </c>
      <c r="O14" s="393">
        <v>111150</v>
      </c>
    </row>
    <row r="15" spans="1:15" ht="58.5" customHeight="1" thickBot="1">
      <c r="A15" s="502" t="s">
        <v>123</v>
      </c>
      <c r="B15" s="503" t="s">
        <v>135</v>
      </c>
      <c r="C15" s="504" t="s">
        <v>281</v>
      </c>
      <c r="D15" s="293" t="s">
        <v>283</v>
      </c>
      <c r="E15" s="296" t="s">
        <v>282</v>
      </c>
      <c r="F15" s="294" t="s">
        <v>664</v>
      </c>
      <c r="G15" s="294">
        <v>25</v>
      </c>
      <c r="H15" s="295">
        <v>26</v>
      </c>
      <c r="I15" s="296">
        <v>28</v>
      </c>
      <c r="J15" s="456">
        <v>30</v>
      </c>
      <c r="K15" s="561">
        <f>K16+K17+K18+K19</f>
        <v>13824741</v>
      </c>
      <c r="L15" s="561">
        <f>L16+L17+L18+L19</f>
        <v>19434013.05</v>
      </c>
      <c r="M15" s="561">
        <f>M16+M17+M18+M19</f>
        <v>10576298.7025</v>
      </c>
      <c r="N15" s="561">
        <f>N16+N17+N18+N19</f>
        <v>8321598.637625</v>
      </c>
      <c r="O15" s="562">
        <f>O16+O17+O18+O19</f>
        <v>5321913.56950625</v>
      </c>
    </row>
    <row r="16" spans="1:15" ht="77.25" thickBot="1">
      <c r="A16" s="284"/>
      <c r="B16" s="284" t="s">
        <v>307</v>
      </c>
      <c r="C16" s="285"/>
      <c r="D16" s="285"/>
      <c r="E16" s="285"/>
      <c r="F16" s="285"/>
      <c r="G16" s="285"/>
      <c r="H16" s="285"/>
      <c r="I16" s="285"/>
      <c r="J16" s="285"/>
      <c r="K16" s="286">
        <v>13504000</v>
      </c>
      <c r="L16" s="286">
        <v>7454000</v>
      </c>
      <c r="M16" s="286">
        <v>10255000</v>
      </c>
      <c r="N16" s="286">
        <v>8000000</v>
      </c>
      <c r="O16" s="286">
        <v>5000000</v>
      </c>
    </row>
    <row r="17" spans="1:15" ht="26.25" thickBot="1">
      <c r="A17" s="284"/>
      <c r="B17" s="284" t="s">
        <v>308</v>
      </c>
      <c r="C17" s="285"/>
      <c r="D17" s="285"/>
      <c r="E17" s="285"/>
      <c r="F17" s="285"/>
      <c r="G17" s="285"/>
      <c r="H17" s="285"/>
      <c r="I17" s="285"/>
      <c r="J17" s="285"/>
      <c r="K17" s="286">
        <v>48941</v>
      </c>
      <c r="L17" s="286">
        <v>49213.05</v>
      </c>
      <c r="M17" s="286">
        <v>49498.7025</v>
      </c>
      <c r="N17" s="286">
        <v>49798.637625</v>
      </c>
      <c r="O17" s="286">
        <v>50113.56950625</v>
      </c>
    </row>
    <row r="18" spans="1:15" ht="39" thickBot="1">
      <c r="A18" s="284"/>
      <c r="B18" s="284" t="s">
        <v>309</v>
      </c>
      <c r="C18" s="285"/>
      <c r="D18" s="285"/>
      <c r="E18" s="285"/>
      <c r="F18" s="285"/>
      <c r="G18" s="285"/>
      <c r="H18" s="285"/>
      <c r="I18" s="285"/>
      <c r="J18" s="285"/>
      <c r="K18" s="286">
        <v>271800</v>
      </c>
      <c r="L18" s="286">
        <v>271800</v>
      </c>
      <c r="M18" s="286">
        <v>271800</v>
      </c>
      <c r="N18" s="286">
        <v>271800</v>
      </c>
      <c r="O18" s="286">
        <v>271800</v>
      </c>
    </row>
    <row r="19" spans="1:15" ht="26.25" thickBot="1">
      <c r="A19" s="392"/>
      <c r="B19" s="392" t="s">
        <v>310</v>
      </c>
      <c r="C19" s="287"/>
      <c r="D19" s="285"/>
      <c r="E19" s="285"/>
      <c r="F19" s="285"/>
      <c r="G19" s="285"/>
      <c r="H19" s="285"/>
      <c r="I19" s="285"/>
      <c r="J19" s="287"/>
      <c r="K19" s="393"/>
      <c r="L19" s="393">
        <v>11659000</v>
      </c>
      <c r="M19" s="393"/>
      <c r="N19" s="393"/>
      <c r="O19" s="393"/>
    </row>
    <row r="20" spans="1:15" ht="26.25" thickBot="1">
      <c r="A20" s="507" t="s">
        <v>124</v>
      </c>
      <c r="B20" s="508" t="s">
        <v>136</v>
      </c>
      <c r="C20" s="298" t="s">
        <v>284</v>
      </c>
      <c r="D20" s="293" t="s">
        <v>285</v>
      </c>
      <c r="E20" s="501" t="s">
        <v>286</v>
      </c>
      <c r="F20" s="520" t="s">
        <v>672</v>
      </c>
      <c r="G20" s="520">
        <v>22</v>
      </c>
      <c r="H20" s="500">
        <v>25</v>
      </c>
      <c r="I20" s="521">
        <v>27</v>
      </c>
      <c r="J20" s="554">
        <v>30</v>
      </c>
      <c r="K20" s="561">
        <f>K21+K22+K23</f>
        <v>375055.63599999994</v>
      </c>
      <c r="L20" s="561">
        <f>L21+L22+L23</f>
        <v>375055.63599999994</v>
      </c>
      <c r="M20" s="561">
        <f>M21+M22+M23</f>
        <v>427055.63599999994</v>
      </c>
      <c r="N20" s="561">
        <f>N21+N22+N23</f>
        <v>430055.63599999994</v>
      </c>
      <c r="O20" s="562">
        <f>O21+O22+O23</f>
        <v>595055.6359999999</v>
      </c>
    </row>
    <row r="21" spans="1:15" ht="13.5" thickBot="1">
      <c r="A21" s="284"/>
      <c r="B21" s="284" t="s">
        <v>311</v>
      </c>
      <c r="C21" s="285"/>
      <c r="D21" s="285"/>
      <c r="E21" s="299"/>
      <c r="F21" s="300"/>
      <c r="G21" s="285"/>
      <c r="H21" s="285"/>
      <c r="I21" s="285"/>
      <c r="J21" s="285"/>
      <c r="K21" s="286">
        <v>144534.03999999998</v>
      </c>
      <c r="L21" s="286">
        <v>144534.03999999998</v>
      </c>
      <c r="M21" s="286">
        <v>146534.03999999998</v>
      </c>
      <c r="N21" s="286">
        <v>149534.03999999998</v>
      </c>
      <c r="O21" s="286">
        <v>314534.04</v>
      </c>
    </row>
    <row r="22" spans="1:15" ht="26.25" thickBot="1">
      <c r="A22" s="284"/>
      <c r="B22" s="284" t="s">
        <v>312</v>
      </c>
      <c r="C22" s="285"/>
      <c r="D22" s="285"/>
      <c r="E22" s="285"/>
      <c r="F22" s="285"/>
      <c r="G22" s="285"/>
      <c r="H22" s="285"/>
      <c r="I22" s="285"/>
      <c r="J22" s="285"/>
      <c r="K22" s="286">
        <v>230521.596</v>
      </c>
      <c r="L22" s="286">
        <v>230521.596</v>
      </c>
      <c r="M22" s="286">
        <v>230521.596</v>
      </c>
      <c r="N22" s="286">
        <v>230521.596</v>
      </c>
      <c r="O22" s="286">
        <v>230521.596</v>
      </c>
    </row>
    <row r="23" spans="1:15" ht="39" thickBot="1">
      <c r="A23" s="284"/>
      <c r="B23" s="284" t="s">
        <v>313</v>
      </c>
      <c r="C23" s="285"/>
      <c r="D23" s="285"/>
      <c r="E23" s="285"/>
      <c r="F23" s="285"/>
      <c r="G23" s="285"/>
      <c r="H23" s="285"/>
      <c r="I23" s="285"/>
      <c r="J23" s="287"/>
      <c r="K23" s="393">
        <v>0</v>
      </c>
      <c r="L23" s="393">
        <v>0</v>
      </c>
      <c r="M23" s="393">
        <v>50000</v>
      </c>
      <c r="N23" s="393">
        <v>50000</v>
      </c>
      <c r="O23" s="393">
        <v>50000</v>
      </c>
    </row>
    <row r="24" spans="1:15" ht="30.75" customHeight="1" thickBot="1">
      <c r="A24" s="288" t="s">
        <v>125</v>
      </c>
      <c r="B24" s="684" t="s">
        <v>137</v>
      </c>
      <c r="C24" s="293" t="s">
        <v>287</v>
      </c>
      <c r="D24" s="293" t="s">
        <v>288</v>
      </c>
      <c r="E24" s="294" t="s">
        <v>289</v>
      </c>
      <c r="F24" s="501" t="s">
        <v>673</v>
      </c>
      <c r="G24" s="555">
        <v>1270</v>
      </c>
      <c r="H24" s="555">
        <v>1290</v>
      </c>
      <c r="I24" s="556">
        <v>1320</v>
      </c>
      <c r="J24" s="557">
        <v>1350</v>
      </c>
      <c r="K24" s="563">
        <f>K25+K26</f>
        <v>165000</v>
      </c>
      <c r="L24" s="563">
        <f>L25+L26</f>
        <v>165000</v>
      </c>
      <c r="M24" s="563">
        <f>M25+M26</f>
        <v>180000</v>
      </c>
      <c r="N24" s="563">
        <f>N25+N26</f>
        <v>200000</v>
      </c>
      <c r="O24" s="564">
        <f>O25+O26</f>
        <v>225000</v>
      </c>
    </row>
    <row r="25" spans="1:15" ht="64.5" thickBot="1">
      <c r="A25" s="284"/>
      <c r="B25" s="284" t="s">
        <v>314</v>
      </c>
      <c r="C25" s="285"/>
      <c r="D25" s="285"/>
      <c r="E25" s="285"/>
      <c r="F25" s="285"/>
      <c r="G25" s="285"/>
      <c r="H25" s="285"/>
      <c r="I25" s="285"/>
      <c r="J25" s="285"/>
      <c r="K25" s="286">
        <v>110000</v>
      </c>
      <c r="L25" s="286">
        <v>110000</v>
      </c>
      <c r="M25" s="286">
        <v>120000</v>
      </c>
      <c r="N25" s="286">
        <v>130000</v>
      </c>
      <c r="O25" s="286">
        <v>150000</v>
      </c>
    </row>
    <row r="26" spans="1:15" ht="26.25" thickBot="1">
      <c r="A26" s="392"/>
      <c r="B26" s="392" t="s">
        <v>315</v>
      </c>
      <c r="C26" s="287"/>
      <c r="D26" s="287"/>
      <c r="E26" s="285"/>
      <c r="F26" s="285"/>
      <c r="G26" s="285"/>
      <c r="H26" s="285"/>
      <c r="I26" s="285"/>
      <c r="J26" s="287"/>
      <c r="K26" s="393">
        <v>55000</v>
      </c>
      <c r="L26" s="393">
        <v>55000</v>
      </c>
      <c r="M26" s="393">
        <v>60000</v>
      </c>
      <c r="N26" s="393">
        <v>70000</v>
      </c>
      <c r="O26" s="393">
        <v>75000</v>
      </c>
    </row>
    <row r="27" spans="1:15" ht="45" customHeight="1" thickBot="1">
      <c r="A27" s="507" t="s">
        <v>126</v>
      </c>
      <c r="B27" s="508" t="s">
        <v>138</v>
      </c>
      <c r="C27" s="297" t="s">
        <v>675</v>
      </c>
      <c r="D27" s="297" t="s">
        <v>676</v>
      </c>
      <c r="E27" s="295" t="s">
        <v>276</v>
      </c>
      <c r="F27" s="296" t="s">
        <v>674</v>
      </c>
      <c r="G27" s="295">
        <v>0</v>
      </c>
      <c r="H27" s="296">
        <v>1</v>
      </c>
      <c r="I27" s="295">
        <v>1</v>
      </c>
      <c r="J27" s="456">
        <v>1</v>
      </c>
      <c r="K27" s="561">
        <f>K28</f>
        <v>0</v>
      </c>
      <c r="L27" s="561">
        <f>L28</f>
        <v>400000</v>
      </c>
      <c r="M27" s="561">
        <f>M28</f>
        <v>500000</v>
      </c>
      <c r="N27" s="561">
        <f>N28</f>
        <v>600000</v>
      </c>
      <c r="O27" s="562">
        <f>O28</f>
        <v>600000</v>
      </c>
    </row>
    <row r="28" spans="1:15" ht="26.25" thickBot="1">
      <c r="A28" s="284"/>
      <c r="B28" s="284" t="s">
        <v>316</v>
      </c>
      <c r="C28" s="285"/>
      <c r="D28" s="285"/>
      <c r="E28" s="285"/>
      <c r="F28" s="285"/>
      <c r="G28" s="285"/>
      <c r="H28" s="285"/>
      <c r="I28" s="285"/>
      <c r="J28" s="285"/>
      <c r="K28" s="286">
        <v>0</v>
      </c>
      <c r="L28" s="286">
        <v>400000</v>
      </c>
      <c r="M28" s="286">
        <v>500000</v>
      </c>
      <c r="N28" s="286">
        <v>600000</v>
      </c>
      <c r="O28" s="286">
        <v>600000</v>
      </c>
    </row>
    <row r="29" spans="1:15" ht="13.5" customHeight="1">
      <c r="A29" s="806" t="s">
        <v>129</v>
      </c>
      <c r="B29" s="808" t="s">
        <v>141</v>
      </c>
      <c r="C29" s="888"/>
      <c r="D29" s="888"/>
      <c r="E29" s="888"/>
      <c r="F29" s="888"/>
      <c r="G29" s="888"/>
      <c r="H29" s="888"/>
      <c r="I29" s="888"/>
      <c r="J29" s="640"/>
      <c r="K29" s="731">
        <f>K31+K34</f>
        <v>867416.11</v>
      </c>
      <c r="L29" s="731">
        <f>L31+L34</f>
        <v>5563850.775</v>
      </c>
      <c r="M29" s="731">
        <f>M31+M34</f>
        <v>34349749.5596875</v>
      </c>
      <c r="N29" s="731">
        <f>N31+N34</f>
        <v>7355297.050937501</v>
      </c>
      <c r="O29" s="731">
        <f>O31+O34</f>
        <v>226976.02833333297</v>
      </c>
    </row>
    <row r="30" spans="1:16" ht="13.5" thickBot="1">
      <c r="A30" s="823"/>
      <c r="B30" s="824"/>
      <c r="C30" s="900"/>
      <c r="D30" s="901"/>
      <c r="E30" s="901"/>
      <c r="F30" s="889"/>
      <c r="G30" s="889"/>
      <c r="H30" s="889"/>
      <c r="I30" s="889"/>
      <c r="J30" s="641"/>
      <c r="K30" s="825"/>
      <c r="L30" s="825"/>
      <c r="M30" s="825"/>
      <c r="N30" s="825"/>
      <c r="O30" s="825"/>
      <c r="P30" s="237"/>
    </row>
    <row r="31" spans="1:15" ht="78.75" customHeight="1" thickBot="1">
      <c r="A31" s="510" t="s">
        <v>127</v>
      </c>
      <c r="B31" s="511" t="s">
        <v>139</v>
      </c>
      <c r="C31" s="512" t="s">
        <v>291</v>
      </c>
      <c r="D31" s="509" t="s">
        <v>293</v>
      </c>
      <c r="E31" s="291" t="s">
        <v>292</v>
      </c>
      <c r="F31" s="428" t="s">
        <v>679</v>
      </c>
      <c r="G31" s="429">
        <v>0</v>
      </c>
      <c r="H31" s="429">
        <v>1</v>
      </c>
      <c r="I31" s="536">
        <v>2</v>
      </c>
      <c r="J31" s="456">
        <v>2</v>
      </c>
      <c r="K31" s="558">
        <f>SUM(K32:K33)</f>
        <v>792250</v>
      </c>
      <c r="L31" s="558">
        <f>SUM(L32:L33)</f>
        <v>5488684.665</v>
      </c>
      <c r="M31" s="558">
        <f>SUM(M32:M33)</f>
        <v>34274583.4496875</v>
      </c>
      <c r="N31" s="558">
        <f>SUM(N32:N33)</f>
        <v>7280130.9409375</v>
      </c>
      <c r="O31" s="558">
        <f>SUM(O32:O33)</f>
        <v>151809.918333333</v>
      </c>
    </row>
    <row r="32" spans="1:25" s="153" customFormat="1" ht="57" customHeight="1" thickBot="1">
      <c r="A32" s="285"/>
      <c r="B32" s="712" t="s">
        <v>810</v>
      </c>
      <c r="C32" s="285"/>
      <c r="D32" s="285"/>
      <c r="E32" s="285"/>
      <c r="F32" s="285"/>
      <c r="G32" s="285"/>
      <c r="H32" s="285"/>
      <c r="I32" s="285"/>
      <c r="J32" s="285"/>
      <c r="K32" s="286">
        <v>0</v>
      </c>
      <c r="L32" s="286">
        <v>119969.335</v>
      </c>
      <c r="M32" s="286">
        <v>4430661.2896875</v>
      </c>
      <c r="N32" s="286">
        <v>7280130.9409375</v>
      </c>
      <c r="O32" s="286">
        <v>151809.918333333</v>
      </c>
      <c r="P32" s="181"/>
      <c r="Q32" s="181"/>
      <c r="R32" s="181"/>
      <c r="S32" s="181"/>
      <c r="T32" s="181"/>
      <c r="U32" s="181"/>
      <c r="V32" s="181"/>
      <c r="W32" s="181"/>
      <c r="X32" s="181"/>
      <c r="Y32" s="181"/>
    </row>
    <row r="33" spans="1:25" s="153" customFormat="1" ht="51.75" thickBot="1">
      <c r="A33" s="392"/>
      <c r="B33" s="392" t="s">
        <v>815</v>
      </c>
      <c r="C33" s="287"/>
      <c r="D33" s="287"/>
      <c r="E33" s="287"/>
      <c r="F33" s="285"/>
      <c r="G33" s="285"/>
      <c r="H33" s="285"/>
      <c r="I33" s="285"/>
      <c r="J33" s="287"/>
      <c r="K33" s="393">
        <v>792250</v>
      </c>
      <c r="L33" s="393">
        <v>5368715.33</v>
      </c>
      <c r="M33" s="393">
        <v>29843922.16</v>
      </c>
      <c r="N33" s="393">
        <v>0</v>
      </c>
      <c r="O33" s="393">
        <v>0</v>
      </c>
      <c r="P33" s="181"/>
      <c r="Q33" s="181"/>
      <c r="R33" s="181"/>
      <c r="S33" s="181"/>
      <c r="T33" s="181"/>
      <c r="U33" s="181"/>
      <c r="V33" s="181"/>
      <c r="W33" s="181"/>
      <c r="X33" s="181"/>
      <c r="Y33" s="181"/>
    </row>
    <row r="34" spans="1:15" ht="87" customHeight="1" thickBot="1">
      <c r="A34" s="510" t="s">
        <v>130</v>
      </c>
      <c r="B34" s="515" t="s">
        <v>140</v>
      </c>
      <c r="C34" s="513" t="s">
        <v>294</v>
      </c>
      <c r="D34" s="514" t="s">
        <v>295</v>
      </c>
      <c r="E34" s="291" t="s">
        <v>296</v>
      </c>
      <c r="F34" s="428" t="s">
        <v>680</v>
      </c>
      <c r="G34" s="429">
        <v>0</v>
      </c>
      <c r="H34" s="429">
        <v>0</v>
      </c>
      <c r="I34" s="536">
        <v>1</v>
      </c>
      <c r="J34" s="289">
        <v>1</v>
      </c>
      <c r="K34" s="559">
        <f>K35</f>
        <v>75166.11</v>
      </c>
      <c r="L34" s="559">
        <f>L35</f>
        <v>75166.11</v>
      </c>
      <c r="M34" s="559">
        <f>M35</f>
        <v>75166.11</v>
      </c>
      <c r="N34" s="559">
        <f>N35</f>
        <v>75166.11</v>
      </c>
      <c r="O34" s="560">
        <f>O35</f>
        <v>75166.11</v>
      </c>
    </row>
    <row r="35" spans="1:15" ht="39" thickBot="1">
      <c r="A35" s="284"/>
      <c r="B35" s="284" t="s">
        <v>318</v>
      </c>
      <c r="C35" s="285"/>
      <c r="D35" s="285"/>
      <c r="E35" s="285"/>
      <c r="F35" s="285"/>
      <c r="G35" s="285"/>
      <c r="H35" s="285"/>
      <c r="I35" s="285"/>
      <c r="J35" s="285"/>
      <c r="K35" s="286">
        <v>75166.11</v>
      </c>
      <c r="L35" s="286">
        <v>75166.11</v>
      </c>
      <c r="M35" s="286">
        <v>75166.11</v>
      </c>
      <c r="N35" s="286">
        <v>75166.11</v>
      </c>
      <c r="O35" s="286">
        <v>75166.11</v>
      </c>
    </row>
    <row r="36" spans="1:15" ht="13.5" thickBot="1">
      <c r="A36" s="806" t="s">
        <v>131</v>
      </c>
      <c r="B36" s="808" t="s">
        <v>142</v>
      </c>
      <c r="C36" s="278"/>
      <c r="D36" s="646"/>
      <c r="E36" s="646"/>
      <c r="F36" s="188"/>
      <c r="G36" s="188"/>
      <c r="H36" s="188"/>
      <c r="I36" s="188"/>
      <c r="J36" s="644"/>
      <c r="K36" s="731">
        <f>K38+K41</f>
        <v>281700</v>
      </c>
      <c r="L36" s="731">
        <f>L38+L41</f>
        <v>288700</v>
      </c>
      <c r="M36" s="731">
        <f>M38+M41</f>
        <v>293700</v>
      </c>
      <c r="N36" s="731">
        <f>N38+N41</f>
        <v>304700</v>
      </c>
      <c r="O36" s="731">
        <f>O38+O41</f>
        <v>311700</v>
      </c>
    </row>
    <row r="37" spans="1:16" ht="19.5" customHeight="1" thickBot="1">
      <c r="A37" s="823"/>
      <c r="B37" s="824"/>
      <c r="C37" s="279"/>
      <c r="D37" s="645"/>
      <c r="E37" s="645"/>
      <c r="F37" s="188"/>
      <c r="G37" s="188"/>
      <c r="H37" s="188"/>
      <c r="I37" s="188"/>
      <c r="J37" s="645"/>
      <c r="K37" s="825"/>
      <c r="L37" s="825"/>
      <c r="M37" s="825"/>
      <c r="N37" s="825"/>
      <c r="O37" s="825"/>
      <c r="P37" s="237"/>
    </row>
    <row r="38" spans="1:15" ht="57" customHeight="1" thickBot="1">
      <c r="A38" s="510" t="s">
        <v>132</v>
      </c>
      <c r="B38" s="511" t="s">
        <v>143</v>
      </c>
      <c r="C38" s="509" t="s">
        <v>297</v>
      </c>
      <c r="D38" s="516" t="s">
        <v>299</v>
      </c>
      <c r="E38" s="291" t="s">
        <v>298</v>
      </c>
      <c r="F38" s="428" t="s">
        <v>679</v>
      </c>
      <c r="G38" s="429">
        <v>4</v>
      </c>
      <c r="H38" s="429">
        <v>8</v>
      </c>
      <c r="I38" s="536">
        <v>12</v>
      </c>
      <c r="J38" s="289">
        <v>16</v>
      </c>
      <c r="K38" s="559">
        <f>K39+K40</f>
        <v>44700</v>
      </c>
      <c r="L38" s="559">
        <f>L39+L40</f>
        <v>46700</v>
      </c>
      <c r="M38" s="559">
        <f>M39+M40</f>
        <v>46700</v>
      </c>
      <c r="N38" s="559">
        <f>N39+N40</f>
        <v>47700</v>
      </c>
      <c r="O38" s="560">
        <f>O39+O40</f>
        <v>49700</v>
      </c>
    </row>
    <row r="39" spans="1:15" ht="26.25" thickBot="1">
      <c r="A39" s="284"/>
      <c r="B39" s="284" t="s">
        <v>319</v>
      </c>
      <c r="C39" s="285"/>
      <c r="D39" s="285"/>
      <c r="E39" s="285"/>
      <c r="F39" s="285"/>
      <c r="G39" s="285"/>
      <c r="H39" s="285"/>
      <c r="I39" s="285"/>
      <c r="J39" s="285"/>
      <c r="K39" s="286">
        <v>23700</v>
      </c>
      <c r="L39" s="286">
        <v>25700</v>
      </c>
      <c r="M39" s="286">
        <v>25700</v>
      </c>
      <c r="N39" s="286">
        <v>26700</v>
      </c>
      <c r="O39" s="286">
        <v>28700</v>
      </c>
    </row>
    <row r="40" spans="1:15" ht="26.25" thickBot="1">
      <c r="A40" s="392"/>
      <c r="B40" s="392" t="s">
        <v>320</v>
      </c>
      <c r="C40" s="287"/>
      <c r="D40" s="287"/>
      <c r="E40" s="287"/>
      <c r="F40" s="285"/>
      <c r="G40" s="285"/>
      <c r="H40" s="285"/>
      <c r="I40" s="285"/>
      <c r="J40" s="287"/>
      <c r="K40" s="393">
        <v>21000</v>
      </c>
      <c r="L40" s="393">
        <v>21000</v>
      </c>
      <c r="M40" s="393">
        <v>21000</v>
      </c>
      <c r="N40" s="393">
        <v>21000</v>
      </c>
      <c r="O40" s="393">
        <v>21000</v>
      </c>
    </row>
    <row r="41" spans="1:15" ht="57.75" customHeight="1" thickBot="1">
      <c r="A41" s="510" t="s">
        <v>133</v>
      </c>
      <c r="B41" s="511" t="s">
        <v>144</v>
      </c>
      <c r="C41" s="282" t="s">
        <v>300</v>
      </c>
      <c r="D41" s="283" t="s">
        <v>301</v>
      </c>
      <c r="E41" s="291" t="s">
        <v>302</v>
      </c>
      <c r="F41" s="428" t="s">
        <v>678</v>
      </c>
      <c r="G41" s="429">
        <v>9</v>
      </c>
      <c r="H41" s="429">
        <v>10</v>
      </c>
      <c r="I41" s="536">
        <v>11</v>
      </c>
      <c r="J41" s="289">
        <v>12</v>
      </c>
      <c r="K41" s="559">
        <f>K42</f>
        <v>237000</v>
      </c>
      <c r="L41" s="559">
        <f>L42</f>
        <v>242000</v>
      </c>
      <c r="M41" s="559">
        <f>M42</f>
        <v>247000</v>
      </c>
      <c r="N41" s="559">
        <f>N42</f>
        <v>257000</v>
      </c>
      <c r="O41" s="560">
        <f>O42</f>
        <v>262000</v>
      </c>
    </row>
    <row r="42" spans="1:15" ht="51.75" thickBot="1">
      <c r="A42" s="284"/>
      <c r="B42" s="284" t="s">
        <v>321</v>
      </c>
      <c r="C42" s="285"/>
      <c r="D42" s="285"/>
      <c r="E42" s="522"/>
      <c r="F42" s="522"/>
      <c r="G42" s="522"/>
      <c r="H42" s="522"/>
      <c r="I42" s="522"/>
      <c r="J42" s="522"/>
      <c r="K42" s="286">
        <v>237000</v>
      </c>
      <c r="L42" s="286">
        <v>242000</v>
      </c>
      <c r="M42" s="286">
        <v>247000</v>
      </c>
      <c r="N42" s="286">
        <v>257000</v>
      </c>
      <c r="O42" s="286">
        <v>262000</v>
      </c>
    </row>
    <row r="43" spans="1:15" ht="33" customHeight="1" thickBot="1">
      <c r="A43" s="806" t="s">
        <v>149</v>
      </c>
      <c r="B43" s="808" t="s">
        <v>150</v>
      </c>
      <c r="C43" s="278"/>
      <c r="D43" s="646"/>
      <c r="E43" s="646"/>
      <c r="F43" s="188"/>
      <c r="G43" s="188"/>
      <c r="H43" s="188"/>
      <c r="I43" s="188"/>
      <c r="J43" s="644"/>
      <c r="K43" s="731">
        <f>SUM(K45+K53+K57+K60+K64+K74)</f>
        <v>3382545</v>
      </c>
      <c r="L43" s="731">
        <f>SUM(L45+L53+L57+L60+L64+L74)</f>
        <v>10887955.94</v>
      </c>
      <c r="M43" s="731">
        <f>SUM(M45+M53+M57+M60+M64+M74)</f>
        <v>2695630.3899999997</v>
      </c>
      <c r="N43" s="731">
        <f>SUM(N45+N53+N57+N60+N64+N74)</f>
        <v>10117792.03</v>
      </c>
      <c r="O43" s="731">
        <f>SUM(O45+O53+O57+O60+O64+O74)</f>
        <v>2571032.0300000003</v>
      </c>
    </row>
    <row r="44" spans="1:16" ht="34.5" customHeight="1" thickBot="1">
      <c r="A44" s="807"/>
      <c r="B44" s="809"/>
      <c r="C44" s="279"/>
      <c r="D44" s="645"/>
      <c r="E44" s="645"/>
      <c r="F44" s="188"/>
      <c r="G44" s="188"/>
      <c r="H44" s="188"/>
      <c r="I44" s="188"/>
      <c r="J44" s="645"/>
      <c r="K44" s="825"/>
      <c r="L44" s="825"/>
      <c r="M44" s="825"/>
      <c r="N44" s="825"/>
      <c r="O44" s="825"/>
      <c r="P44" s="237"/>
    </row>
    <row r="45" spans="1:15" ht="19.5" customHeight="1">
      <c r="A45" s="875" t="s">
        <v>145</v>
      </c>
      <c r="B45" s="780" t="s">
        <v>151</v>
      </c>
      <c r="C45" s="778" t="s">
        <v>325</v>
      </c>
      <c r="D45" s="780" t="s">
        <v>326</v>
      </c>
      <c r="E45" s="876" t="s">
        <v>272</v>
      </c>
      <c r="F45" s="878" t="s">
        <v>677</v>
      </c>
      <c r="G45" s="782">
        <v>0.43</v>
      </c>
      <c r="H45" s="782">
        <v>0.45</v>
      </c>
      <c r="I45" s="772">
        <v>0.47</v>
      </c>
      <c r="J45" s="733">
        <v>0.5</v>
      </c>
      <c r="K45" s="741">
        <f>SUM(K47:K52)</f>
        <v>1636325</v>
      </c>
      <c r="L45" s="741">
        <f>SUM(L47:L52)</f>
        <v>8947400</v>
      </c>
      <c r="M45" s="741">
        <f>SUM(M47:M52)</f>
        <v>662400</v>
      </c>
      <c r="N45" s="741">
        <f>SUM(N47:N52)</f>
        <v>8162400</v>
      </c>
      <c r="O45" s="741">
        <f>SUM(O47:O52)</f>
        <v>662400</v>
      </c>
    </row>
    <row r="46" spans="1:16" ht="44.25" customHeight="1" thickBot="1">
      <c r="A46" s="874"/>
      <c r="B46" s="805"/>
      <c r="C46" s="779"/>
      <c r="D46" s="781"/>
      <c r="E46" s="877"/>
      <c r="F46" s="879"/>
      <c r="G46" s="783"/>
      <c r="H46" s="783"/>
      <c r="I46" s="773"/>
      <c r="J46" s="734"/>
      <c r="K46" s="743"/>
      <c r="L46" s="743"/>
      <c r="M46" s="743"/>
      <c r="N46" s="743"/>
      <c r="O46" s="743"/>
      <c r="P46" s="237"/>
    </row>
    <row r="47" spans="1:15" ht="33" customHeight="1" thickBot="1">
      <c r="A47" s="301"/>
      <c r="B47" s="302" t="s">
        <v>327</v>
      </c>
      <c r="C47" s="303"/>
      <c r="D47" s="303"/>
      <c r="E47" s="303"/>
      <c r="F47" s="303"/>
      <c r="G47" s="303"/>
      <c r="H47" s="303"/>
      <c r="I47" s="304"/>
      <c r="J47" s="307"/>
      <c r="K47" s="310">
        <v>619950</v>
      </c>
      <c r="L47" s="310">
        <v>600000</v>
      </c>
      <c r="M47" s="311">
        <v>600000</v>
      </c>
      <c r="N47" s="310">
        <v>600000</v>
      </c>
      <c r="O47" s="310">
        <v>600000</v>
      </c>
    </row>
    <row r="48" spans="1:15" ht="54" customHeight="1" thickBot="1">
      <c r="A48" s="305"/>
      <c r="B48" s="306" t="s">
        <v>328</v>
      </c>
      <c r="C48" s="303"/>
      <c r="D48" s="303"/>
      <c r="E48" s="307"/>
      <c r="F48" s="303"/>
      <c r="G48" s="303"/>
      <c r="H48" s="303"/>
      <c r="I48" s="303"/>
      <c r="J48" s="303"/>
      <c r="K48" s="310">
        <v>0</v>
      </c>
      <c r="L48" s="310">
        <v>7500000</v>
      </c>
      <c r="M48" s="311">
        <v>0</v>
      </c>
      <c r="N48" s="310">
        <v>7500000</v>
      </c>
      <c r="O48" s="310">
        <v>0</v>
      </c>
    </row>
    <row r="49" spans="1:15" ht="57.75" customHeight="1" thickBot="1">
      <c r="A49" s="308"/>
      <c r="B49" s="309" t="s">
        <v>329</v>
      </c>
      <c r="C49" s="303"/>
      <c r="D49" s="303"/>
      <c r="E49" s="303"/>
      <c r="F49" s="303"/>
      <c r="G49" s="303"/>
      <c r="H49" s="303"/>
      <c r="I49" s="303"/>
      <c r="J49" s="303"/>
      <c r="K49" s="310">
        <v>62400</v>
      </c>
      <c r="L49" s="669">
        <v>62400</v>
      </c>
      <c r="M49" s="311">
        <v>62400</v>
      </c>
      <c r="N49" s="310">
        <v>62400</v>
      </c>
      <c r="O49" s="310">
        <v>62400</v>
      </c>
    </row>
    <row r="50" spans="1:15" ht="42.75" customHeight="1" thickBot="1">
      <c r="A50" s="301"/>
      <c r="B50" s="302" t="s">
        <v>330</v>
      </c>
      <c r="C50" s="303"/>
      <c r="D50" s="303"/>
      <c r="E50" s="303"/>
      <c r="F50" s="307"/>
      <c r="G50" s="303"/>
      <c r="H50" s="303"/>
      <c r="I50" s="303"/>
      <c r="J50" s="303"/>
      <c r="K50" s="310">
        <v>65000</v>
      </c>
      <c r="L50" s="310">
        <v>35000</v>
      </c>
      <c r="M50" s="311">
        <v>0</v>
      </c>
      <c r="N50" s="310">
        <v>0</v>
      </c>
      <c r="O50" s="312">
        <v>0</v>
      </c>
    </row>
    <row r="51" spans="1:15" ht="45.75" customHeight="1" thickBot="1">
      <c r="A51" s="301"/>
      <c r="B51" s="313" t="s">
        <v>331</v>
      </c>
      <c r="C51" s="303"/>
      <c r="D51" s="307"/>
      <c r="E51" s="303"/>
      <c r="F51" s="303"/>
      <c r="G51" s="303"/>
      <c r="H51" s="303"/>
      <c r="I51" s="303"/>
      <c r="J51" s="303"/>
      <c r="K51" s="310">
        <v>579100</v>
      </c>
      <c r="L51" s="310">
        <v>150000</v>
      </c>
      <c r="M51" s="311">
        <v>0</v>
      </c>
      <c r="N51" s="310">
        <v>0</v>
      </c>
      <c r="O51" s="310">
        <v>0</v>
      </c>
    </row>
    <row r="52" spans="1:15" ht="45" customHeight="1" thickBot="1">
      <c r="A52" s="301"/>
      <c r="B52" s="309" t="s">
        <v>332</v>
      </c>
      <c r="C52" s="303"/>
      <c r="D52" s="303"/>
      <c r="E52" s="303"/>
      <c r="F52" s="303"/>
      <c r="G52" s="314"/>
      <c r="H52" s="303"/>
      <c r="I52" s="303"/>
      <c r="J52" s="303"/>
      <c r="K52" s="310">
        <v>309875</v>
      </c>
      <c r="L52" s="310">
        <v>600000</v>
      </c>
      <c r="M52" s="311">
        <v>0</v>
      </c>
      <c r="N52" s="310">
        <v>0</v>
      </c>
      <c r="O52" s="310">
        <v>0</v>
      </c>
    </row>
    <row r="53" spans="1:15" ht="39.75" customHeight="1">
      <c r="A53" s="868" t="s">
        <v>146</v>
      </c>
      <c r="B53" s="870" t="s">
        <v>152</v>
      </c>
      <c r="C53" s="774" t="s">
        <v>681</v>
      </c>
      <c r="D53" s="775" t="s">
        <v>682</v>
      </c>
      <c r="E53" s="776" t="s">
        <v>333</v>
      </c>
      <c r="F53" s="777" t="s">
        <v>680</v>
      </c>
      <c r="G53" s="783">
        <v>1</v>
      </c>
      <c r="H53" s="783">
        <v>0</v>
      </c>
      <c r="I53" s="783">
        <v>1</v>
      </c>
      <c r="J53" s="735">
        <v>0</v>
      </c>
      <c r="K53" s="872">
        <f>SUM(K55:K56)</f>
        <v>28000</v>
      </c>
      <c r="L53" s="872">
        <f>SUM(L55:L56)</f>
        <v>55988.91</v>
      </c>
      <c r="M53" s="872">
        <f>SUM(M55:M56)</f>
        <v>65862.76000000001</v>
      </c>
      <c r="N53" s="872">
        <f>SUM(N55:N56)</f>
        <v>28000</v>
      </c>
      <c r="O53" s="872">
        <f>SUM(O55:O56)</f>
        <v>28000</v>
      </c>
    </row>
    <row r="54" spans="1:16" ht="29.25" customHeight="1" thickBot="1">
      <c r="A54" s="869"/>
      <c r="B54" s="871"/>
      <c r="C54" s="774"/>
      <c r="D54" s="775"/>
      <c r="E54" s="776"/>
      <c r="F54" s="777"/>
      <c r="G54" s="783"/>
      <c r="H54" s="783"/>
      <c r="I54" s="736"/>
      <c r="J54" s="736"/>
      <c r="K54" s="861"/>
      <c r="L54" s="861"/>
      <c r="M54" s="861"/>
      <c r="N54" s="861"/>
      <c r="O54" s="861"/>
      <c r="P54" s="237"/>
    </row>
    <row r="55" spans="1:15" ht="39" thickBot="1">
      <c r="A55" s="301"/>
      <c r="B55" s="303" t="s">
        <v>816</v>
      </c>
      <c r="C55" s="303"/>
      <c r="D55" s="303"/>
      <c r="E55" s="303"/>
      <c r="F55" s="303"/>
      <c r="G55" s="303"/>
      <c r="H55" s="303"/>
      <c r="I55" s="315"/>
      <c r="J55" s="315"/>
      <c r="K55" s="316">
        <v>0</v>
      </c>
      <c r="L55" s="316">
        <v>27988.91</v>
      </c>
      <c r="M55" s="317">
        <v>37862.76</v>
      </c>
      <c r="N55" s="318">
        <v>0</v>
      </c>
      <c r="O55" s="319">
        <v>0</v>
      </c>
    </row>
    <row r="56" spans="1:15" ht="69" customHeight="1" thickBot="1">
      <c r="A56" s="210"/>
      <c r="B56" s="210" t="s">
        <v>335</v>
      </c>
      <c r="C56" s="315"/>
      <c r="D56" s="315"/>
      <c r="E56" s="315"/>
      <c r="F56" s="315"/>
      <c r="G56" s="315"/>
      <c r="H56" s="315"/>
      <c r="I56" s="315"/>
      <c r="J56" s="315"/>
      <c r="K56" s="316">
        <v>28000</v>
      </c>
      <c r="L56" s="316">
        <v>28000</v>
      </c>
      <c r="M56" s="317">
        <v>28000</v>
      </c>
      <c r="N56" s="320">
        <v>28000</v>
      </c>
      <c r="O56" s="319">
        <v>28000</v>
      </c>
    </row>
    <row r="57" spans="1:15" ht="32.25" customHeight="1">
      <c r="A57" s="862" t="s">
        <v>147</v>
      </c>
      <c r="B57" s="873" t="s">
        <v>251</v>
      </c>
      <c r="C57" s="770" t="s">
        <v>336</v>
      </c>
      <c r="D57" s="790" t="s">
        <v>683</v>
      </c>
      <c r="E57" s="787" t="s">
        <v>333</v>
      </c>
      <c r="F57" s="770" t="s">
        <v>680</v>
      </c>
      <c r="G57" s="790">
        <v>0</v>
      </c>
      <c r="H57" s="790">
        <v>1</v>
      </c>
      <c r="I57" s="790">
        <v>1</v>
      </c>
      <c r="J57" s="790">
        <v>0</v>
      </c>
      <c r="K57" s="860">
        <f>SUM(K59:K59)</f>
        <v>45000</v>
      </c>
      <c r="L57" s="860">
        <f>SUM(L59:L59)</f>
        <v>45000</v>
      </c>
      <c r="M57" s="860">
        <f>SUM(M59:M59)</f>
        <v>45000</v>
      </c>
      <c r="N57" s="860">
        <f>SUM(N59:N59)</f>
        <v>45000</v>
      </c>
      <c r="O57" s="860">
        <f>SUM(O59:O59)</f>
        <v>45000</v>
      </c>
    </row>
    <row r="58" spans="1:16" ht="40.5" customHeight="1" thickBot="1">
      <c r="A58" s="863"/>
      <c r="B58" s="874"/>
      <c r="C58" s="771"/>
      <c r="D58" s="797"/>
      <c r="E58" s="788"/>
      <c r="F58" s="789"/>
      <c r="G58" s="736"/>
      <c r="H58" s="736"/>
      <c r="I58" s="736"/>
      <c r="J58" s="736"/>
      <c r="K58" s="861"/>
      <c r="L58" s="861"/>
      <c r="M58" s="861"/>
      <c r="N58" s="861"/>
      <c r="O58" s="861"/>
      <c r="P58" s="237"/>
    </row>
    <row r="59" spans="1:15" ht="64.5" thickBot="1">
      <c r="A59" s="210"/>
      <c r="B59" s="210" t="s">
        <v>337</v>
      </c>
      <c r="C59" s="315"/>
      <c r="D59" s="315"/>
      <c r="E59" s="315"/>
      <c r="F59" s="315"/>
      <c r="G59" s="315"/>
      <c r="H59" s="315"/>
      <c r="I59" s="315"/>
      <c r="J59" s="315"/>
      <c r="K59" s="316">
        <v>45000</v>
      </c>
      <c r="L59" s="316">
        <v>45000</v>
      </c>
      <c r="M59" s="317">
        <v>45000</v>
      </c>
      <c r="N59" s="320">
        <v>45000</v>
      </c>
      <c r="O59" s="319">
        <v>45000</v>
      </c>
    </row>
    <row r="60" spans="1:15" ht="28.5" customHeight="1">
      <c r="A60" s="862" t="s">
        <v>148</v>
      </c>
      <c r="B60" s="864" t="s">
        <v>153</v>
      </c>
      <c r="C60" s="770" t="s">
        <v>338</v>
      </c>
      <c r="D60" s="770" t="s">
        <v>757</v>
      </c>
      <c r="E60" s="787" t="s">
        <v>273</v>
      </c>
      <c r="F60" s="770" t="s">
        <v>685</v>
      </c>
      <c r="G60" s="790">
        <v>0</v>
      </c>
      <c r="H60" s="790">
        <v>1</v>
      </c>
      <c r="I60" s="790">
        <v>1</v>
      </c>
      <c r="J60" s="790">
        <v>0</v>
      </c>
      <c r="K60" s="866">
        <f>SUM(K62:K63)</f>
        <v>220000</v>
      </c>
      <c r="L60" s="866">
        <f>SUM(L62:L63)</f>
        <v>220000</v>
      </c>
      <c r="M60" s="866">
        <f>SUM(M62:M63)</f>
        <v>220000</v>
      </c>
      <c r="N60" s="866">
        <f>SUM(N62:N63)</f>
        <v>220000</v>
      </c>
      <c r="O60" s="866">
        <f>SUM(O62:O63)</f>
        <v>220000</v>
      </c>
    </row>
    <row r="61" spans="1:16" ht="36" customHeight="1" thickBot="1">
      <c r="A61" s="863"/>
      <c r="B61" s="865"/>
      <c r="C61" s="771"/>
      <c r="D61" s="771"/>
      <c r="E61" s="788"/>
      <c r="F61" s="789"/>
      <c r="G61" s="736"/>
      <c r="H61" s="736"/>
      <c r="I61" s="736"/>
      <c r="J61" s="736"/>
      <c r="K61" s="867"/>
      <c r="L61" s="867"/>
      <c r="M61" s="867"/>
      <c r="N61" s="867"/>
      <c r="O61" s="867"/>
      <c r="P61" s="237"/>
    </row>
    <row r="62" spans="1:15" ht="33" customHeight="1" thickBot="1">
      <c r="A62" s="210"/>
      <c r="B62" s="321" t="s">
        <v>339</v>
      </c>
      <c r="C62" s="315"/>
      <c r="D62" s="315"/>
      <c r="E62" s="315"/>
      <c r="F62" s="315"/>
      <c r="G62" s="315"/>
      <c r="H62" s="315"/>
      <c r="I62" s="565"/>
      <c r="J62" s="303"/>
      <c r="K62" s="670">
        <v>135000</v>
      </c>
      <c r="L62" s="671">
        <v>135000</v>
      </c>
      <c r="M62" s="672">
        <v>135000</v>
      </c>
      <c r="N62" s="673">
        <v>135000</v>
      </c>
      <c r="O62" s="673">
        <v>135000</v>
      </c>
    </row>
    <row r="63" spans="1:15" ht="64.5" thickBot="1">
      <c r="A63" s="322"/>
      <c r="B63" s="322" t="s">
        <v>340</v>
      </c>
      <c r="C63" s="323"/>
      <c r="D63" s="323"/>
      <c r="E63" s="323"/>
      <c r="F63" s="323"/>
      <c r="G63" s="323"/>
      <c r="H63" s="323"/>
      <c r="I63" s="323"/>
      <c r="J63" s="566"/>
      <c r="K63" s="324">
        <v>85000</v>
      </c>
      <c r="L63" s="324">
        <v>85000</v>
      </c>
      <c r="M63" s="325">
        <v>85000</v>
      </c>
      <c r="N63" s="326">
        <v>85000</v>
      </c>
      <c r="O63" s="324">
        <v>85000</v>
      </c>
    </row>
    <row r="64" spans="1:15" s="201" customFormat="1" ht="51.75" thickBot="1">
      <c r="A64" s="754" t="s">
        <v>154</v>
      </c>
      <c r="B64" s="780" t="s">
        <v>155</v>
      </c>
      <c r="C64" s="327" t="s">
        <v>341</v>
      </c>
      <c r="D64" s="665" t="s">
        <v>342</v>
      </c>
      <c r="E64" s="328" t="s">
        <v>272</v>
      </c>
      <c r="F64" s="329" t="s">
        <v>684</v>
      </c>
      <c r="G64" s="330" t="s">
        <v>343</v>
      </c>
      <c r="H64" s="331">
        <v>0.04</v>
      </c>
      <c r="I64" s="332">
        <v>0.049</v>
      </c>
      <c r="J64" s="567">
        <v>0.05</v>
      </c>
      <c r="K64" s="791">
        <f>SUM(K68:K73)</f>
        <v>1080220</v>
      </c>
      <c r="L64" s="794">
        <f>SUM(L68:L73)</f>
        <v>1399567.03</v>
      </c>
      <c r="M64" s="794">
        <f>SUM(M68:M73)</f>
        <v>1482367.63</v>
      </c>
      <c r="N64" s="794">
        <f>SUM(N68:N73)</f>
        <v>1442392.03</v>
      </c>
      <c r="O64" s="794">
        <f>SUM(O68:O73)</f>
        <v>1395632.03</v>
      </c>
    </row>
    <row r="65" spans="1:16" s="201" customFormat="1" ht="55.5" customHeight="1" thickBot="1">
      <c r="A65" s="755"/>
      <c r="B65" s="781"/>
      <c r="C65" s="333" t="s">
        <v>344</v>
      </c>
      <c r="D65" s="334" t="s">
        <v>345</v>
      </c>
      <c r="E65" s="335" t="s">
        <v>273</v>
      </c>
      <c r="F65" s="336" t="s">
        <v>687</v>
      </c>
      <c r="G65" s="337">
        <v>280</v>
      </c>
      <c r="H65" s="338">
        <v>380</v>
      </c>
      <c r="I65" s="568">
        <v>480</v>
      </c>
      <c r="J65" s="341">
        <v>580</v>
      </c>
      <c r="K65" s="792"/>
      <c r="L65" s="795"/>
      <c r="M65" s="795"/>
      <c r="N65" s="795"/>
      <c r="O65" s="795"/>
      <c r="P65" s="237"/>
    </row>
    <row r="66" spans="1:15" ht="39" thickBot="1">
      <c r="A66" s="755"/>
      <c r="B66" s="781"/>
      <c r="C66" s="339" t="s">
        <v>346</v>
      </c>
      <c r="D66" s="340" t="s">
        <v>347</v>
      </c>
      <c r="E66" s="341" t="s">
        <v>273</v>
      </c>
      <c r="F66" s="342" t="s">
        <v>686</v>
      </c>
      <c r="G66" s="343">
        <v>56</v>
      </c>
      <c r="H66" s="343">
        <v>60</v>
      </c>
      <c r="I66" s="344">
        <v>65</v>
      </c>
      <c r="J66" s="344">
        <v>67</v>
      </c>
      <c r="K66" s="792"/>
      <c r="L66" s="795"/>
      <c r="M66" s="795"/>
      <c r="N66" s="795"/>
      <c r="O66" s="795"/>
    </row>
    <row r="67" spans="1:16" ht="39" thickBot="1">
      <c r="A67" s="756"/>
      <c r="B67" s="805"/>
      <c r="C67" s="341" t="s">
        <v>348</v>
      </c>
      <c r="D67" s="340" t="s">
        <v>349</v>
      </c>
      <c r="E67" s="341" t="s">
        <v>350</v>
      </c>
      <c r="F67" s="345" t="s">
        <v>688</v>
      </c>
      <c r="G67" s="346">
        <v>1100</v>
      </c>
      <c r="H67" s="346">
        <v>1200</v>
      </c>
      <c r="I67" s="347">
        <v>1300</v>
      </c>
      <c r="J67" s="569">
        <v>1400</v>
      </c>
      <c r="K67" s="793"/>
      <c r="L67" s="796"/>
      <c r="M67" s="796"/>
      <c r="N67" s="796"/>
      <c r="O67" s="796"/>
      <c r="P67" s="237"/>
    </row>
    <row r="68" spans="1:15" ht="39.75" customHeight="1" thickBot="1">
      <c r="A68" s="210"/>
      <c r="B68" s="322" t="s">
        <v>351</v>
      </c>
      <c r="C68" s="315"/>
      <c r="D68" s="315"/>
      <c r="E68" s="315"/>
      <c r="F68" s="315"/>
      <c r="G68" s="315"/>
      <c r="H68" s="315"/>
      <c r="I68" s="315"/>
      <c r="J68" s="315"/>
      <c r="K68" s="316">
        <v>75000</v>
      </c>
      <c r="L68" s="316">
        <v>70000</v>
      </c>
      <c r="M68" s="317">
        <v>70000</v>
      </c>
      <c r="N68" s="318">
        <v>70000</v>
      </c>
      <c r="O68" s="318">
        <v>70000</v>
      </c>
    </row>
    <row r="69" spans="1:15" ht="26.25" thickBot="1">
      <c r="A69" s="210"/>
      <c r="B69" s="322" t="s">
        <v>352</v>
      </c>
      <c r="C69" s="315"/>
      <c r="D69" s="315"/>
      <c r="E69" s="315"/>
      <c r="F69" s="315"/>
      <c r="G69" s="315"/>
      <c r="H69" s="315"/>
      <c r="I69" s="315"/>
      <c r="J69" s="315"/>
      <c r="K69" s="316">
        <v>30000</v>
      </c>
      <c r="L69" s="316">
        <v>30000</v>
      </c>
      <c r="M69" s="317">
        <v>30000</v>
      </c>
      <c r="N69" s="318">
        <v>30000</v>
      </c>
      <c r="O69" s="318">
        <v>30000</v>
      </c>
    </row>
    <row r="70" spans="1:15" ht="51.75" thickBot="1">
      <c r="A70" s="210"/>
      <c r="B70" s="322" t="s">
        <v>353</v>
      </c>
      <c r="C70" s="315"/>
      <c r="D70" s="315"/>
      <c r="E70" s="315"/>
      <c r="F70" s="315"/>
      <c r="G70" s="315"/>
      <c r="H70" s="315"/>
      <c r="I70" s="315"/>
      <c r="J70" s="315"/>
      <c r="K70" s="316">
        <v>470000</v>
      </c>
      <c r="L70" s="316">
        <v>576900</v>
      </c>
      <c r="M70" s="317">
        <v>583250</v>
      </c>
      <c r="N70" s="348">
        <v>600000</v>
      </c>
      <c r="O70" s="349">
        <v>620000</v>
      </c>
    </row>
    <row r="71" spans="1:15" ht="39" thickBot="1">
      <c r="A71" s="210"/>
      <c r="B71" s="322" t="s">
        <v>354</v>
      </c>
      <c r="C71" s="315"/>
      <c r="D71" s="315"/>
      <c r="E71" s="315"/>
      <c r="F71" s="315"/>
      <c r="G71" s="315"/>
      <c r="H71" s="315"/>
      <c r="I71" s="315"/>
      <c r="J71" s="315"/>
      <c r="K71" s="316">
        <v>0</v>
      </c>
      <c r="L71" s="316">
        <v>45315</v>
      </c>
      <c r="M71" s="317">
        <v>120765.6</v>
      </c>
      <c r="N71" s="319">
        <v>62040</v>
      </c>
      <c r="O71" s="319">
        <v>0</v>
      </c>
    </row>
    <row r="72" spans="1:15" ht="39" thickBot="1">
      <c r="A72" s="214"/>
      <c r="B72" s="350" t="s">
        <v>817</v>
      </c>
      <c r="C72" s="351"/>
      <c r="D72" s="351"/>
      <c r="E72" s="351"/>
      <c r="F72" s="351"/>
      <c r="G72" s="351"/>
      <c r="H72" s="351"/>
      <c r="I72" s="351"/>
      <c r="J72" s="351"/>
      <c r="K72" s="352">
        <v>0</v>
      </c>
      <c r="L72" s="352">
        <v>170632.03</v>
      </c>
      <c r="M72" s="353">
        <v>170632.03</v>
      </c>
      <c r="N72" s="348">
        <v>170632.03</v>
      </c>
      <c r="O72" s="348">
        <v>170632.03</v>
      </c>
    </row>
    <row r="73" spans="1:15" ht="91.5" customHeight="1" thickBot="1">
      <c r="A73" s="354"/>
      <c r="B73" s="355" t="s">
        <v>356</v>
      </c>
      <c r="C73" s="303"/>
      <c r="D73" s="303"/>
      <c r="E73" s="303"/>
      <c r="F73" s="303"/>
      <c r="G73" s="303"/>
      <c r="H73" s="303"/>
      <c r="I73" s="303"/>
      <c r="J73" s="303"/>
      <c r="K73" s="356">
        <v>505220</v>
      </c>
      <c r="L73" s="357">
        <v>506720</v>
      </c>
      <c r="M73" s="358">
        <v>507720</v>
      </c>
      <c r="N73" s="356">
        <v>509720</v>
      </c>
      <c r="O73" s="356">
        <v>505000</v>
      </c>
    </row>
    <row r="74" spans="1:15" ht="39" thickBot="1">
      <c r="A74" s="754" t="s">
        <v>595</v>
      </c>
      <c r="B74" s="757" t="s">
        <v>596</v>
      </c>
      <c r="C74" s="359" t="s">
        <v>597</v>
      </c>
      <c r="D74" s="359" t="s">
        <v>598</v>
      </c>
      <c r="E74" s="360" t="s">
        <v>273</v>
      </c>
      <c r="F74" s="361" t="s">
        <v>690</v>
      </c>
      <c r="G74" s="362">
        <v>9250</v>
      </c>
      <c r="H74" s="362">
        <v>9300</v>
      </c>
      <c r="I74" s="363">
        <v>9350</v>
      </c>
      <c r="J74" s="569">
        <v>9400</v>
      </c>
      <c r="K74" s="741">
        <f>SUM(K78:K79)</f>
        <v>373000</v>
      </c>
      <c r="L74" s="741">
        <f>SUM(L78:L79)</f>
        <v>220000</v>
      </c>
      <c r="M74" s="741">
        <f>SUM(M78:M79)</f>
        <v>220000</v>
      </c>
      <c r="N74" s="741">
        <f>SUM(N78:N79)</f>
        <v>220000</v>
      </c>
      <c r="O74" s="728">
        <f>SUM(O78:O79)</f>
        <v>220000</v>
      </c>
    </row>
    <row r="75" spans="1:16" ht="39" thickBot="1">
      <c r="A75" s="755"/>
      <c r="B75" s="758"/>
      <c r="C75" s="364" t="s">
        <v>599</v>
      </c>
      <c r="D75" s="359" t="s">
        <v>600</v>
      </c>
      <c r="E75" s="366" t="s">
        <v>273</v>
      </c>
      <c r="F75" s="362" t="s">
        <v>691</v>
      </c>
      <c r="G75" s="362">
        <v>28760</v>
      </c>
      <c r="H75" s="362">
        <v>29160</v>
      </c>
      <c r="I75" s="363">
        <v>29560</v>
      </c>
      <c r="J75" s="569">
        <v>30000</v>
      </c>
      <c r="K75" s="742"/>
      <c r="L75" s="742"/>
      <c r="M75" s="742"/>
      <c r="N75" s="742"/>
      <c r="O75" s="729"/>
      <c r="P75" s="237"/>
    </row>
    <row r="76" spans="1:15" ht="45.75" customHeight="1" thickBot="1">
      <c r="A76" s="755"/>
      <c r="B76" s="758"/>
      <c r="C76" s="367" t="s">
        <v>601</v>
      </c>
      <c r="D76" s="365" t="s">
        <v>602</v>
      </c>
      <c r="E76" s="366" t="s">
        <v>273</v>
      </c>
      <c r="F76" s="368" t="s">
        <v>689</v>
      </c>
      <c r="G76" s="368">
        <v>118</v>
      </c>
      <c r="H76" s="368">
        <v>122</v>
      </c>
      <c r="I76" s="369">
        <v>126</v>
      </c>
      <c r="J76" s="341">
        <v>130</v>
      </c>
      <c r="K76" s="742"/>
      <c r="L76" s="742"/>
      <c r="M76" s="742"/>
      <c r="N76" s="742"/>
      <c r="O76" s="729"/>
    </row>
    <row r="77" spans="1:15" ht="45.75" customHeight="1" thickBot="1">
      <c r="A77" s="756"/>
      <c r="B77" s="759"/>
      <c r="C77" s="370" t="s">
        <v>603</v>
      </c>
      <c r="D77" s="371" t="s">
        <v>604</v>
      </c>
      <c r="E77" s="366" t="s">
        <v>273</v>
      </c>
      <c r="F77" s="362" t="s">
        <v>692</v>
      </c>
      <c r="G77" s="362">
        <v>6800</v>
      </c>
      <c r="H77" s="362">
        <v>7200</v>
      </c>
      <c r="I77" s="363">
        <v>7400</v>
      </c>
      <c r="J77" s="345">
        <v>7500</v>
      </c>
      <c r="K77" s="743"/>
      <c r="L77" s="743"/>
      <c r="M77" s="743"/>
      <c r="N77" s="743"/>
      <c r="O77" s="730"/>
    </row>
    <row r="78" spans="1:15" ht="33" customHeight="1" thickBot="1">
      <c r="A78" s="372"/>
      <c r="B78" s="223" t="s">
        <v>605</v>
      </c>
      <c r="C78" s="373"/>
      <c r="D78" s="374"/>
      <c r="E78" s="375"/>
      <c r="F78" s="374"/>
      <c r="G78" s="374"/>
      <c r="H78" s="374"/>
      <c r="I78" s="374"/>
      <c r="J78" s="374"/>
      <c r="K78" s="376">
        <v>353000</v>
      </c>
      <c r="L78" s="376">
        <v>200000</v>
      </c>
      <c r="M78" s="376">
        <v>200000</v>
      </c>
      <c r="N78" s="377">
        <v>200000</v>
      </c>
      <c r="O78" s="377">
        <v>200000</v>
      </c>
    </row>
    <row r="79" spans="1:15" ht="34.5" customHeight="1" thickBot="1">
      <c r="A79" s="372"/>
      <c r="B79" s="223" t="s">
        <v>606</v>
      </c>
      <c r="C79" s="373"/>
      <c r="D79" s="374"/>
      <c r="E79" s="375"/>
      <c r="F79" s="374"/>
      <c r="G79" s="374"/>
      <c r="H79" s="374"/>
      <c r="I79" s="374"/>
      <c r="J79" s="374"/>
      <c r="K79" s="376">
        <v>20000</v>
      </c>
      <c r="L79" s="376">
        <v>20000</v>
      </c>
      <c r="M79" s="376">
        <v>20000</v>
      </c>
      <c r="N79" s="377">
        <v>20000</v>
      </c>
      <c r="O79" s="377">
        <v>20000</v>
      </c>
    </row>
    <row r="80" spans="1:15" ht="33" customHeight="1" thickBot="1">
      <c r="A80" s="806" t="s">
        <v>156</v>
      </c>
      <c r="B80" s="808" t="s">
        <v>157</v>
      </c>
      <c r="C80" s="278"/>
      <c r="D80" s="646"/>
      <c r="E80" s="646"/>
      <c r="F80" s="188"/>
      <c r="G80" s="188"/>
      <c r="H80" s="188"/>
      <c r="I80" s="188"/>
      <c r="J80" s="644"/>
      <c r="K80" s="731">
        <f>SUM(K82+K93+K99+K103+K107)</f>
        <v>4228500</v>
      </c>
      <c r="L80" s="731">
        <f>SUM(L82+L93+L99+L103+L107)</f>
        <v>7792200.545</v>
      </c>
      <c r="M80" s="731">
        <f>SUM(M82+M93+M99+M103+M107)</f>
        <v>24383276.115000002</v>
      </c>
      <c r="N80" s="731">
        <f>SUM(N82+N93+N99+N103+N107)</f>
        <v>8833666.67</v>
      </c>
      <c r="O80" s="731">
        <f>SUM(O82+O93+O99+O103+O107)</f>
        <v>4319000</v>
      </c>
    </row>
    <row r="81" spans="1:16" ht="45.75" customHeight="1" thickBot="1">
      <c r="A81" s="807"/>
      <c r="B81" s="809"/>
      <c r="C81" s="279"/>
      <c r="D81" s="645"/>
      <c r="E81" s="645"/>
      <c r="F81" s="188"/>
      <c r="G81" s="188"/>
      <c r="H81" s="188"/>
      <c r="I81" s="188"/>
      <c r="J81" s="645"/>
      <c r="K81" s="732"/>
      <c r="L81" s="732"/>
      <c r="M81" s="732"/>
      <c r="N81" s="732"/>
      <c r="O81" s="732"/>
      <c r="P81" s="237"/>
    </row>
    <row r="82" spans="1:16" ht="56.25" customHeight="1" thickBot="1">
      <c r="A82" s="760" t="s">
        <v>158</v>
      </c>
      <c r="B82" s="763" t="s">
        <v>159</v>
      </c>
      <c r="C82" s="378" t="s">
        <v>357</v>
      </c>
      <c r="D82" s="379" t="s">
        <v>693</v>
      </c>
      <c r="E82" s="380" t="s">
        <v>273</v>
      </c>
      <c r="F82" s="381" t="s">
        <v>694</v>
      </c>
      <c r="G82" s="382">
        <v>4</v>
      </c>
      <c r="H82" s="382">
        <v>4</v>
      </c>
      <c r="I82" s="570">
        <v>4</v>
      </c>
      <c r="J82" s="386">
        <v>4</v>
      </c>
      <c r="K82" s="837">
        <f>SUM(K85:K92)</f>
        <v>2849500</v>
      </c>
      <c r="L82" s="744">
        <f>SUM(L85:L92)</f>
        <v>6372103.545</v>
      </c>
      <c r="M82" s="744">
        <f>SUM(M85:M92)</f>
        <v>22834825.115000002</v>
      </c>
      <c r="N82" s="744">
        <f>SUM(N85:N92)</f>
        <v>7455666.67</v>
      </c>
      <c r="O82" s="744">
        <f>SUM(O85:O92)</f>
        <v>2940000</v>
      </c>
      <c r="P82" s="237">
        <f>SUM(K82:O82)</f>
        <v>42452095.330000006</v>
      </c>
    </row>
    <row r="83" spans="1:15" ht="59.25" customHeight="1" thickBot="1">
      <c r="A83" s="761"/>
      <c r="B83" s="764"/>
      <c r="C83" s="383" t="s">
        <v>358</v>
      </c>
      <c r="D83" s="384" t="s">
        <v>359</v>
      </c>
      <c r="E83" s="385" t="s">
        <v>273</v>
      </c>
      <c r="F83" s="381" t="s">
        <v>694</v>
      </c>
      <c r="G83" s="382">
        <v>3</v>
      </c>
      <c r="H83" s="382">
        <v>3</v>
      </c>
      <c r="I83" s="570">
        <v>3</v>
      </c>
      <c r="J83" s="386">
        <v>1</v>
      </c>
      <c r="K83" s="838"/>
      <c r="L83" s="745"/>
      <c r="M83" s="745"/>
      <c r="N83" s="745"/>
      <c r="O83" s="745"/>
    </row>
    <row r="84" spans="1:16" ht="39" thickBot="1">
      <c r="A84" s="762"/>
      <c r="B84" s="765"/>
      <c r="C84" s="386" t="s">
        <v>360</v>
      </c>
      <c r="D84" s="387" t="s">
        <v>361</v>
      </c>
      <c r="E84" s="386" t="s">
        <v>273</v>
      </c>
      <c r="F84" s="388" t="s">
        <v>694</v>
      </c>
      <c r="G84" s="388">
        <v>6</v>
      </c>
      <c r="H84" s="388">
        <v>6</v>
      </c>
      <c r="I84" s="387">
        <v>6</v>
      </c>
      <c r="J84" s="386">
        <v>2</v>
      </c>
      <c r="K84" s="839"/>
      <c r="L84" s="746"/>
      <c r="M84" s="746"/>
      <c r="N84" s="746"/>
      <c r="O84" s="746"/>
      <c r="P84" s="237"/>
    </row>
    <row r="85" spans="1:15" ht="13.5" thickBot="1">
      <c r="A85" s="284"/>
      <c r="B85" s="284" t="s">
        <v>362</v>
      </c>
      <c r="C85" s="285"/>
      <c r="D85" s="285"/>
      <c r="E85" s="285"/>
      <c r="F85" s="285"/>
      <c r="G85" s="285"/>
      <c r="H85" s="285"/>
      <c r="I85" s="285"/>
      <c r="J85" s="285"/>
      <c r="K85" s="286">
        <v>902000</v>
      </c>
      <c r="L85" s="286">
        <v>1227600</v>
      </c>
      <c r="M85" s="389">
        <v>1297600</v>
      </c>
      <c r="N85" s="390">
        <v>1300000</v>
      </c>
      <c r="O85" s="391">
        <f>400000+900000</f>
        <v>1300000</v>
      </c>
    </row>
    <row r="86" spans="1:15" ht="39" thickBot="1">
      <c r="A86" s="284"/>
      <c r="B86" s="682" t="s">
        <v>792</v>
      </c>
      <c r="C86" s="285"/>
      <c r="D86" s="285"/>
      <c r="E86" s="285"/>
      <c r="F86" s="285"/>
      <c r="G86" s="285"/>
      <c r="H86" s="285"/>
      <c r="I86" s="285"/>
      <c r="J86" s="285"/>
      <c r="K86" s="286">
        <v>786500</v>
      </c>
      <c r="L86" s="286">
        <v>782000</v>
      </c>
      <c r="M86" s="389">
        <v>787000</v>
      </c>
      <c r="N86" s="390">
        <v>789000</v>
      </c>
      <c r="O86" s="391">
        <f>490000+300000</f>
        <v>790000</v>
      </c>
    </row>
    <row r="87" spans="1:15" ht="39" thickBot="1">
      <c r="A87" s="392"/>
      <c r="B87" s="685" t="s">
        <v>363</v>
      </c>
      <c r="C87" s="285"/>
      <c r="D87" s="285"/>
      <c r="E87" s="285"/>
      <c r="F87" s="285"/>
      <c r="G87" s="285"/>
      <c r="H87" s="285"/>
      <c r="I87" s="285"/>
      <c r="J87" s="285"/>
      <c r="K87" s="286">
        <v>594000</v>
      </c>
      <c r="L87" s="286">
        <v>935000</v>
      </c>
      <c r="M87" s="389">
        <v>835000</v>
      </c>
      <c r="N87" s="390">
        <v>850000</v>
      </c>
      <c r="O87" s="391">
        <v>850000</v>
      </c>
    </row>
    <row r="88" spans="1:15" ht="26.25" thickBot="1">
      <c r="A88" s="254"/>
      <c r="B88" s="686" t="s">
        <v>793</v>
      </c>
      <c r="C88" s="287"/>
      <c r="D88" s="287"/>
      <c r="E88" s="287"/>
      <c r="F88" s="287"/>
      <c r="G88" s="287"/>
      <c r="H88" s="287"/>
      <c r="I88" s="287"/>
      <c r="J88" s="287"/>
      <c r="K88" s="393">
        <v>567000</v>
      </c>
      <c r="L88" s="393">
        <v>507000</v>
      </c>
      <c r="M88" s="394">
        <v>507000</v>
      </c>
      <c r="N88" s="395"/>
      <c r="O88" s="396"/>
    </row>
    <row r="89" spans="1:15" ht="68.25" customHeight="1" thickBot="1">
      <c r="A89" s="397"/>
      <c r="B89" s="687" t="s">
        <v>818</v>
      </c>
      <c r="C89" s="398"/>
      <c r="D89" s="399"/>
      <c r="E89" s="399"/>
      <c r="F89" s="399"/>
      <c r="G89" s="399"/>
      <c r="H89" s="399"/>
      <c r="I89" s="399"/>
      <c r="J89" s="399"/>
      <c r="K89" s="400">
        <v>0</v>
      </c>
      <c r="L89" s="400">
        <v>293836.875</v>
      </c>
      <c r="M89" s="401">
        <v>5329497.525</v>
      </c>
      <c r="N89" s="391">
        <v>0</v>
      </c>
      <c r="O89" s="391">
        <v>0</v>
      </c>
    </row>
    <row r="90" spans="1:15" s="153" customFormat="1" ht="107.25" customHeight="1" thickBot="1">
      <c r="A90" s="687"/>
      <c r="B90" s="687" t="s">
        <v>819</v>
      </c>
      <c r="C90" s="705"/>
      <c r="D90" s="706"/>
      <c r="E90" s="706"/>
      <c r="F90" s="706"/>
      <c r="G90" s="706"/>
      <c r="H90" s="706"/>
      <c r="I90" s="706"/>
      <c r="J90" s="706"/>
      <c r="K90" s="707">
        <v>0</v>
      </c>
      <c r="L90" s="707">
        <v>360000</v>
      </c>
      <c r="M90" s="708">
        <v>10752060.92</v>
      </c>
      <c r="N90" s="709">
        <v>1190000</v>
      </c>
      <c r="O90" s="709">
        <v>0</v>
      </c>
    </row>
    <row r="91" spans="1:15" s="153" customFormat="1" ht="39" thickBot="1">
      <c r="A91" s="687"/>
      <c r="B91" s="687" t="s">
        <v>794</v>
      </c>
      <c r="C91" s="705"/>
      <c r="D91" s="706"/>
      <c r="E91" s="706"/>
      <c r="F91" s="706"/>
      <c r="G91" s="706"/>
      <c r="H91" s="706"/>
      <c r="I91" s="706"/>
      <c r="J91" s="706"/>
      <c r="K91" s="707">
        <v>0</v>
      </c>
      <c r="L91" s="707">
        <v>240000</v>
      </c>
      <c r="M91" s="708">
        <v>1300000</v>
      </c>
      <c r="N91" s="709">
        <v>1300000</v>
      </c>
      <c r="O91" s="711">
        <v>0</v>
      </c>
    </row>
    <row r="92" spans="1:15" ht="54.75" customHeight="1" thickBot="1">
      <c r="A92" s="397"/>
      <c r="B92" s="687" t="s">
        <v>795</v>
      </c>
      <c r="C92" s="398"/>
      <c r="D92" s="399"/>
      <c r="E92" s="399"/>
      <c r="F92" s="399"/>
      <c r="G92" s="399"/>
      <c r="H92" s="399"/>
      <c r="I92" s="399"/>
      <c r="J92" s="399"/>
      <c r="K92" s="400">
        <v>0</v>
      </c>
      <c r="L92" s="400">
        <v>2026666.67</v>
      </c>
      <c r="M92" s="401">
        <v>2026666.67</v>
      </c>
      <c r="N92" s="391">
        <v>2026666.67</v>
      </c>
      <c r="O92" s="674">
        <v>0</v>
      </c>
    </row>
    <row r="93" spans="1:15" ht="81" customHeight="1" thickBot="1">
      <c r="A93" s="766" t="s">
        <v>160</v>
      </c>
      <c r="B93" s="768" t="s">
        <v>161</v>
      </c>
      <c r="C93" s="402" t="s">
        <v>364</v>
      </c>
      <c r="D93" s="403" t="s">
        <v>365</v>
      </c>
      <c r="E93" s="404" t="s">
        <v>273</v>
      </c>
      <c r="F93" s="405" t="s">
        <v>694</v>
      </c>
      <c r="G93" s="661">
        <v>1</v>
      </c>
      <c r="H93" s="661">
        <v>1</v>
      </c>
      <c r="I93" s="406">
        <v>0</v>
      </c>
      <c r="J93" s="413">
        <v>0</v>
      </c>
      <c r="K93" s="842">
        <f>SUM(K96:K98)</f>
        <v>60000</v>
      </c>
      <c r="L93" s="747">
        <f>SUM(L96:L98)</f>
        <v>111097</v>
      </c>
      <c r="M93" s="747">
        <f>SUM(M96:M98)</f>
        <v>239451</v>
      </c>
      <c r="N93" s="747">
        <f>SUM(N96:N98)</f>
        <v>69000</v>
      </c>
      <c r="O93" s="747">
        <f>SUM(O96:O98)</f>
        <v>70000</v>
      </c>
    </row>
    <row r="94" spans="1:15" ht="73.5" customHeight="1" thickBot="1">
      <c r="A94" s="766"/>
      <c r="B94" s="768"/>
      <c r="C94" s="407" t="s">
        <v>366</v>
      </c>
      <c r="D94" s="408" t="s">
        <v>367</v>
      </c>
      <c r="E94" s="409" t="s">
        <v>273</v>
      </c>
      <c r="F94" s="405" t="s">
        <v>694</v>
      </c>
      <c r="G94" s="660">
        <v>2</v>
      </c>
      <c r="H94" s="660">
        <v>3</v>
      </c>
      <c r="I94" s="410">
        <v>3</v>
      </c>
      <c r="J94" s="413">
        <v>2</v>
      </c>
      <c r="K94" s="843"/>
      <c r="L94" s="748"/>
      <c r="M94" s="748"/>
      <c r="N94" s="748"/>
      <c r="O94" s="748"/>
    </row>
    <row r="95" spans="1:16" ht="86.25" customHeight="1" thickBot="1">
      <c r="A95" s="767"/>
      <c r="B95" s="769"/>
      <c r="C95" s="411" t="s">
        <v>368</v>
      </c>
      <c r="D95" s="412" t="s">
        <v>369</v>
      </c>
      <c r="E95" s="413" t="s">
        <v>273</v>
      </c>
      <c r="F95" s="405" t="s">
        <v>694</v>
      </c>
      <c r="G95" s="414">
        <v>1</v>
      </c>
      <c r="H95" s="414">
        <v>1</v>
      </c>
      <c r="I95" s="412">
        <v>1</v>
      </c>
      <c r="J95" s="413">
        <v>0</v>
      </c>
      <c r="K95" s="844"/>
      <c r="L95" s="749"/>
      <c r="M95" s="749"/>
      <c r="N95" s="749"/>
      <c r="O95" s="749"/>
      <c r="P95" s="237"/>
    </row>
    <row r="96" spans="1:15" ht="26.25" thickBot="1">
      <c r="A96" s="415"/>
      <c r="B96" s="415" t="s">
        <v>370</v>
      </c>
      <c r="C96" s="416"/>
      <c r="D96" s="416"/>
      <c r="E96" s="416"/>
      <c r="F96" s="416"/>
      <c r="G96" s="416"/>
      <c r="H96" s="416"/>
      <c r="I96" s="416"/>
      <c r="J96" s="416"/>
      <c r="K96" s="417">
        <v>0</v>
      </c>
      <c r="L96" s="417">
        <v>44097</v>
      </c>
      <c r="M96" s="418">
        <v>171451</v>
      </c>
      <c r="N96" s="419">
        <v>0</v>
      </c>
      <c r="O96" s="391">
        <v>0</v>
      </c>
    </row>
    <row r="97" spans="1:15" ht="26.25" thickBot="1">
      <c r="A97" s="415"/>
      <c r="B97" s="415" t="s">
        <v>371</v>
      </c>
      <c r="C97" s="416"/>
      <c r="D97" s="416"/>
      <c r="E97" s="416"/>
      <c r="F97" s="416"/>
      <c r="G97" s="416"/>
      <c r="H97" s="416"/>
      <c r="I97" s="416"/>
      <c r="J97" s="416"/>
      <c r="K97" s="417">
        <v>0</v>
      </c>
      <c r="L97" s="417">
        <v>7000</v>
      </c>
      <c r="M97" s="418">
        <v>8000</v>
      </c>
      <c r="N97" s="419">
        <v>9000</v>
      </c>
      <c r="O97" s="391">
        <v>10000</v>
      </c>
    </row>
    <row r="98" spans="1:15" ht="27.75" customHeight="1" thickBot="1">
      <c r="A98" s="415"/>
      <c r="B98" s="415" t="s">
        <v>372</v>
      </c>
      <c r="C98" s="416"/>
      <c r="D98" s="416"/>
      <c r="E98" s="416"/>
      <c r="F98" s="416"/>
      <c r="G98" s="416"/>
      <c r="H98" s="416"/>
      <c r="I98" s="416"/>
      <c r="J98" s="416"/>
      <c r="K98" s="417">
        <v>60000</v>
      </c>
      <c r="L98" s="417">
        <v>60000</v>
      </c>
      <c r="M98" s="418">
        <v>60000</v>
      </c>
      <c r="N98" s="420">
        <v>60000</v>
      </c>
      <c r="O98" s="391">
        <v>60000</v>
      </c>
    </row>
    <row r="99" spans="1:15" ht="30.75" customHeight="1">
      <c r="A99" s="858" t="s">
        <v>162</v>
      </c>
      <c r="B99" s="799" t="s">
        <v>163</v>
      </c>
      <c r="C99" s="803" t="s">
        <v>373</v>
      </c>
      <c r="D99" s="737" t="s">
        <v>374</v>
      </c>
      <c r="E99" s="801" t="s">
        <v>273</v>
      </c>
      <c r="F99" s="803" t="s">
        <v>694</v>
      </c>
      <c r="G99" s="737">
        <v>1</v>
      </c>
      <c r="H99" s="737">
        <v>1</v>
      </c>
      <c r="I99" s="737">
        <v>1</v>
      </c>
      <c r="J99" s="737">
        <v>1</v>
      </c>
      <c r="K99" s="750">
        <f>SUM(K101:K102)</f>
        <v>27000</v>
      </c>
      <c r="L99" s="750">
        <f>SUM(L101:L102)</f>
        <v>27000</v>
      </c>
      <c r="M99" s="750">
        <f>SUM(M101:M102)</f>
        <v>27000</v>
      </c>
      <c r="N99" s="750">
        <f>SUM(N101:N102)</f>
        <v>27000</v>
      </c>
      <c r="O99" s="750">
        <f>SUM(O101:O102)</f>
        <v>27000</v>
      </c>
    </row>
    <row r="100" spans="1:16" ht="36" customHeight="1" thickBot="1">
      <c r="A100" s="859"/>
      <c r="B100" s="800"/>
      <c r="C100" s="810"/>
      <c r="D100" s="798"/>
      <c r="E100" s="802"/>
      <c r="F100" s="804"/>
      <c r="G100" s="738"/>
      <c r="H100" s="738"/>
      <c r="I100" s="738"/>
      <c r="J100" s="738"/>
      <c r="K100" s="751"/>
      <c r="L100" s="751"/>
      <c r="M100" s="751"/>
      <c r="N100" s="751"/>
      <c r="O100" s="751"/>
      <c r="P100" s="237"/>
    </row>
    <row r="101" spans="1:15" ht="26.25" thickBot="1">
      <c r="A101" s="415"/>
      <c r="B101" s="415" t="s">
        <v>375</v>
      </c>
      <c r="C101" s="416"/>
      <c r="D101" s="416"/>
      <c r="E101" s="416"/>
      <c r="F101" s="416"/>
      <c r="G101" s="416"/>
      <c r="H101" s="416"/>
      <c r="I101" s="416"/>
      <c r="J101" s="416"/>
      <c r="K101" s="417">
        <v>20000</v>
      </c>
      <c r="L101" s="417">
        <v>20000</v>
      </c>
      <c r="M101" s="418">
        <v>20000</v>
      </c>
      <c r="N101" s="419">
        <v>20000</v>
      </c>
      <c r="O101" s="391">
        <v>20000</v>
      </c>
    </row>
    <row r="102" spans="1:15" ht="26.25" thickBot="1">
      <c r="A102" s="415"/>
      <c r="B102" s="415" t="s">
        <v>376</v>
      </c>
      <c r="C102" s="416"/>
      <c r="D102" s="416"/>
      <c r="E102" s="416"/>
      <c r="F102" s="416"/>
      <c r="G102" s="416"/>
      <c r="H102" s="416"/>
      <c r="I102" s="416"/>
      <c r="J102" s="571"/>
      <c r="K102" s="417">
        <v>7000</v>
      </c>
      <c r="L102" s="417">
        <v>7000</v>
      </c>
      <c r="M102" s="418">
        <v>7000</v>
      </c>
      <c r="N102" s="420">
        <v>7000</v>
      </c>
      <c r="O102" s="391">
        <v>7000</v>
      </c>
    </row>
    <row r="103" spans="1:15" ht="73.5" customHeight="1" thickBot="1">
      <c r="A103" s="858" t="s">
        <v>164</v>
      </c>
      <c r="B103" s="799" t="s">
        <v>165</v>
      </c>
      <c r="C103" s="407" t="s">
        <v>377</v>
      </c>
      <c r="D103" s="408" t="s">
        <v>378</v>
      </c>
      <c r="E103" s="409" t="s">
        <v>273</v>
      </c>
      <c r="F103" s="405" t="s">
        <v>694</v>
      </c>
      <c r="G103" s="421">
        <v>1</v>
      </c>
      <c r="H103" s="421">
        <v>0</v>
      </c>
      <c r="I103" s="422">
        <v>0</v>
      </c>
      <c r="J103" s="413">
        <v>0</v>
      </c>
      <c r="K103" s="848">
        <f>SUM(K105:K106)</f>
        <v>1060000</v>
      </c>
      <c r="L103" s="752">
        <f>SUM(L105:L106)</f>
        <v>1050000</v>
      </c>
      <c r="M103" s="752">
        <f>SUM(M105:M106)</f>
        <v>1050000</v>
      </c>
      <c r="N103" s="752">
        <f>SUM(N105:N106)</f>
        <v>1050000</v>
      </c>
      <c r="O103" s="752">
        <f>SUM(O105:O106)</f>
        <v>1050000</v>
      </c>
    </row>
    <row r="104" spans="1:16" ht="87" customHeight="1" thickBot="1">
      <c r="A104" s="859"/>
      <c r="B104" s="800"/>
      <c r="C104" s="411" t="s">
        <v>379</v>
      </c>
      <c r="D104" s="423" t="s">
        <v>380</v>
      </c>
      <c r="E104" s="424" t="s">
        <v>273</v>
      </c>
      <c r="F104" s="405" t="s">
        <v>694</v>
      </c>
      <c r="G104" s="421">
        <v>1</v>
      </c>
      <c r="H104" s="421">
        <v>1</v>
      </c>
      <c r="I104" s="422">
        <v>1</v>
      </c>
      <c r="J104" s="413">
        <v>1</v>
      </c>
      <c r="K104" s="849"/>
      <c r="L104" s="753"/>
      <c r="M104" s="753"/>
      <c r="N104" s="753"/>
      <c r="O104" s="753"/>
      <c r="P104" s="237"/>
    </row>
    <row r="105" spans="1:15" ht="13.5" thickBot="1">
      <c r="A105" s="415"/>
      <c r="B105" s="415" t="s">
        <v>381</v>
      </c>
      <c r="C105" s="416"/>
      <c r="D105" s="416"/>
      <c r="E105" s="416"/>
      <c r="F105" s="416"/>
      <c r="G105" s="416"/>
      <c r="H105" s="416"/>
      <c r="I105" s="416"/>
      <c r="J105" s="416"/>
      <c r="K105" s="417">
        <v>1040000</v>
      </c>
      <c r="L105" s="417">
        <v>1030000</v>
      </c>
      <c r="M105" s="418">
        <v>1030000</v>
      </c>
      <c r="N105" s="425">
        <v>1030000</v>
      </c>
      <c r="O105" s="391">
        <f>1000000+30000</f>
        <v>1030000</v>
      </c>
    </row>
    <row r="106" spans="1:15" ht="39.75" customHeight="1" thickBot="1">
      <c r="A106" s="415"/>
      <c r="B106" s="415" t="s">
        <v>382</v>
      </c>
      <c r="C106" s="416"/>
      <c r="D106" s="416"/>
      <c r="E106" s="416"/>
      <c r="F106" s="416"/>
      <c r="G106" s="416"/>
      <c r="H106" s="416"/>
      <c r="I106" s="416"/>
      <c r="J106" s="416"/>
      <c r="K106" s="417">
        <v>20000</v>
      </c>
      <c r="L106" s="417">
        <v>20000</v>
      </c>
      <c r="M106" s="418">
        <v>20000</v>
      </c>
      <c r="N106" s="426">
        <v>20000</v>
      </c>
      <c r="O106" s="391">
        <v>20000</v>
      </c>
    </row>
    <row r="107" spans="1:15" ht="19.5" customHeight="1">
      <c r="A107" s="858" t="s">
        <v>166</v>
      </c>
      <c r="B107" s="799" t="s">
        <v>167</v>
      </c>
      <c r="C107" s="803" t="s">
        <v>383</v>
      </c>
      <c r="D107" s="737" t="s">
        <v>384</v>
      </c>
      <c r="E107" s="801" t="s">
        <v>273</v>
      </c>
      <c r="F107" s="803" t="s">
        <v>694</v>
      </c>
      <c r="G107" s="737">
        <v>0</v>
      </c>
      <c r="H107" s="739">
        <v>1</v>
      </c>
      <c r="I107" s="739" t="s">
        <v>789</v>
      </c>
      <c r="J107" s="739" t="s">
        <v>385</v>
      </c>
      <c r="K107" s="750">
        <f>SUM(K109)</f>
        <v>232000</v>
      </c>
      <c r="L107" s="750">
        <f>SUM(L109)</f>
        <v>232000</v>
      </c>
      <c r="M107" s="750">
        <f>SUM(M109)</f>
        <v>232000</v>
      </c>
      <c r="N107" s="750">
        <f>SUM(N109)</f>
        <v>232000</v>
      </c>
      <c r="O107" s="750">
        <f>SUM(O109)</f>
        <v>232000</v>
      </c>
    </row>
    <row r="108" spans="1:16" ht="41.25" customHeight="1" thickBot="1">
      <c r="A108" s="859"/>
      <c r="B108" s="800"/>
      <c r="C108" s="810"/>
      <c r="D108" s="798"/>
      <c r="E108" s="802"/>
      <c r="F108" s="804"/>
      <c r="G108" s="738"/>
      <c r="H108" s="740"/>
      <c r="I108" s="740"/>
      <c r="J108" s="740"/>
      <c r="K108" s="751"/>
      <c r="L108" s="751"/>
      <c r="M108" s="751"/>
      <c r="N108" s="751"/>
      <c r="O108" s="751"/>
      <c r="P108" s="237"/>
    </row>
    <row r="109" spans="1:15" ht="26.25" thickBot="1">
      <c r="A109" s="415"/>
      <c r="B109" s="415" t="s">
        <v>386</v>
      </c>
      <c r="C109" s="416"/>
      <c r="D109" s="416"/>
      <c r="E109" s="416"/>
      <c r="F109" s="416"/>
      <c r="G109" s="416"/>
      <c r="H109" s="416"/>
      <c r="I109" s="416"/>
      <c r="J109" s="416"/>
      <c r="K109" s="417">
        <v>232000</v>
      </c>
      <c r="L109" s="417">
        <v>232000</v>
      </c>
      <c r="M109" s="418">
        <v>232000</v>
      </c>
      <c r="N109" s="420">
        <v>232000</v>
      </c>
      <c r="O109" s="391">
        <v>232000</v>
      </c>
    </row>
    <row r="110" spans="1:15" ht="13.5" thickBot="1">
      <c r="A110" s="826" t="s">
        <v>75</v>
      </c>
      <c r="B110" s="828" t="s">
        <v>168</v>
      </c>
      <c r="C110" s="277"/>
      <c r="D110" s="184"/>
      <c r="E110" s="184"/>
      <c r="F110" s="184"/>
      <c r="G110" s="184"/>
      <c r="H110" s="184"/>
      <c r="I110" s="184"/>
      <c r="J110" s="648"/>
      <c r="K110" s="829">
        <f>SUM(K112+K149+K166+K175+K188)</f>
        <v>956000</v>
      </c>
      <c r="L110" s="829">
        <f>SUM(L112+L149+L166+L175+L188)</f>
        <v>132472959.47</v>
      </c>
      <c r="M110" s="829">
        <f>SUM(M112+M149+M166+M175+M188)</f>
        <v>169519100.48000002</v>
      </c>
      <c r="N110" s="829">
        <f>SUM(N112+N149+N166+N175+N188)</f>
        <v>109388437.66</v>
      </c>
      <c r="O110" s="829">
        <f>SUM(O112+O149+O166+O175+O188)</f>
        <v>70369147.18</v>
      </c>
    </row>
    <row r="111" spans="1:16" ht="13.5" thickBot="1">
      <c r="A111" s="827"/>
      <c r="B111" s="827"/>
      <c r="C111" s="277"/>
      <c r="D111" s="647"/>
      <c r="E111" s="647"/>
      <c r="F111" s="184"/>
      <c r="G111" s="184"/>
      <c r="H111" s="184"/>
      <c r="I111" s="184"/>
      <c r="J111" s="647"/>
      <c r="K111" s="830"/>
      <c r="L111" s="830"/>
      <c r="M111" s="830"/>
      <c r="N111" s="830"/>
      <c r="O111" s="830"/>
      <c r="P111" s="237"/>
    </row>
    <row r="112" spans="1:15" ht="13.5" thickBot="1">
      <c r="A112" s="806" t="s">
        <v>169</v>
      </c>
      <c r="B112" s="808" t="s">
        <v>170</v>
      </c>
      <c r="C112" s="278"/>
      <c r="D112" s="646"/>
      <c r="E112" s="646"/>
      <c r="F112" s="188"/>
      <c r="G112" s="188"/>
      <c r="H112" s="188"/>
      <c r="I112" s="188"/>
      <c r="J112" s="644"/>
      <c r="K112" s="731">
        <f>SUM(K114+K116+K136+K140+K142+K144)</f>
        <v>456000</v>
      </c>
      <c r="L112" s="731">
        <f>SUM(L114+L116+L136+L140+L142+L144)</f>
        <v>78809320</v>
      </c>
      <c r="M112" s="731">
        <f>SUM(M114+M116+M136+M140+M142+M144)</f>
        <v>78251990</v>
      </c>
      <c r="N112" s="731">
        <f>SUM(N114+N116+N136+N140+N142+N144)</f>
        <v>33843490</v>
      </c>
      <c r="O112" s="731">
        <f>SUM(O114+O116+O136+O140+O142+O144)</f>
        <v>35619800</v>
      </c>
    </row>
    <row r="113" spans="1:16" ht="13.5" thickBot="1">
      <c r="A113" s="807"/>
      <c r="B113" s="809"/>
      <c r="C113" s="279"/>
      <c r="D113" s="645"/>
      <c r="E113" s="645"/>
      <c r="F113" s="188"/>
      <c r="G113" s="188"/>
      <c r="H113" s="188"/>
      <c r="I113" s="188"/>
      <c r="J113" s="645"/>
      <c r="K113" s="732"/>
      <c r="L113" s="732"/>
      <c r="M113" s="732"/>
      <c r="N113" s="732"/>
      <c r="O113" s="732"/>
      <c r="P113" s="237"/>
    </row>
    <row r="114" spans="1:21" ht="94.5" customHeight="1" thickBot="1">
      <c r="A114" s="651" t="s">
        <v>171</v>
      </c>
      <c r="B114" s="652" t="s">
        <v>172</v>
      </c>
      <c r="C114" s="572" t="s">
        <v>398</v>
      </c>
      <c r="D114" s="573" t="s">
        <v>758</v>
      </c>
      <c r="E114" s="541" t="s">
        <v>399</v>
      </c>
      <c r="F114" s="542" t="s">
        <v>695</v>
      </c>
      <c r="G114" s="543">
        <v>20</v>
      </c>
      <c r="H114" s="543">
        <v>26</v>
      </c>
      <c r="I114" s="654">
        <v>32</v>
      </c>
      <c r="J114" s="456">
        <v>38</v>
      </c>
      <c r="K114" s="653">
        <f>SUM(K115)</f>
        <v>0</v>
      </c>
      <c r="L114" s="650">
        <f>SUM(L115)</f>
        <v>38400</v>
      </c>
      <c r="M114" s="650">
        <f>SUM(M115)</f>
        <v>38400</v>
      </c>
      <c r="N114" s="650">
        <f>SUM(N115)</f>
        <v>38400</v>
      </c>
      <c r="O114" s="650">
        <f>SUM(O115)</f>
        <v>38400</v>
      </c>
      <c r="Q114" s="427"/>
      <c r="R114" s="427"/>
      <c r="S114" s="427"/>
      <c r="T114" s="427"/>
      <c r="U114" s="427"/>
    </row>
    <row r="115" spans="1:15" ht="26.25" thickBot="1">
      <c r="A115" s="284"/>
      <c r="B115" s="392" t="s">
        <v>400</v>
      </c>
      <c r="C115" s="285"/>
      <c r="D115" s="285"/>
      <c r="E115" s="285"/>
      <c r="F115" s="285"/>
      <c r="G115" s="285"/>
      <c r="H115" s="285"/>
      <c r="I115" s="287"/>
      <c r="J115" s="287"/>
      <c r="K115" s="286">
        <v>0</v>
      </c>
      <c r="L115" s="286">
        <v>38400</v>
      </c>
      <c r="M115" s="286">
        <v>38400</v>
      </c>
      <c r="N115" s="286">
        <v>38400</v>
      </c>
      <c r="O115" s="286">
        <v>38400</v>
      </c>
    </row>
    <row r="116" spans="1:15" ht="54.75" customHeight="1" thickBot="1">
      <c r="A116" s="850" t="s">
        <v>173</v>
      </c>
      <c r="B116" s="763" t="s">
        <v>174</v>
      </c>
      <c r="C116" s="577" t="s">
        <v>413</v>
      </c>
      <c r="D116" s="578" t="s">
        <v>760</v>
      </c>
      <c r="E116" s="541" t="s">
        <v>414</v>
      </c>
      <c r="F116" s="428" t="s">
        <v>680</v>
      </c>
      <c r="G116" s="429">
        <v>0</v>
      </c>
      <c r="H116" s="536">
        <v>0</v>
      </c>
      <c r="I116" s="456">
        <v>5</v>
      </c>
      <c r="J116" s="456">
        <v>5</v>
      </c>
      <c r="K116" s="840">
        <f>SUM(K123:K135)</f>
        <v>456000</v>
      </c>
      <c r="L116" s="831">
        <f>SUM(L123:L135)</f>
        <v>73762260</v>
      </c>
      <c r="M116" s="831">
        <f>SUM(M123:M135)</f>
        <v>72887760</v>
      </c>
      <c r="N116" s="831">
        <f>SUM(N123:N135)</f>
        <v>28530000</v>
      </c>
      <c r="O116" s="831">
        <f>SUM(O123:O135)</f>
        <v>30560000</v>
      </c>
    </row>
    <row r="117" spans="1:15" ht="49.5" customHeight="1" thickBot="1">
      <c r="A117" s="851"/>
      <c r="B117" s="764"/>
      <c r="C117" s="579" t="s">
        <v>415</v>
      </c>
      <c r="D117" s="516" t="s">
        <v>805</v>
      </c>
      <c r="E117" s="291" t="s">
        <v>774</v>
      </c>
      <c r="F117" s="428" t="s">
        <v>680</v>
      </c>
      <c r="G117" s="429">
        <v>0</v>
      </c>
      <c r="H117" s="429">
        <v>1</v>
      </c>
      <c r="I117" s="655">
        <v>1</v>
      </c>
      <c r="J117" s="456">
        <v>1</v>
      </c>
      <c r="K117" s="841"/>
      <c r="L117" s="832"/>
      <c r="M117" s="832"/>
      <c r="N117" s="832"/>
      <c r="O117" s="832"/>
    </row>
    <row r="118" spans="1:16" ht="59.25" customHeight="1" thickBot="1">
      <c r="A118" s="851"/>
      <c r="B118" s="764"/>
      <c r="C118" s="579" t="s">
        <v>416</v>
      </c>
      <c r="D118" s="579" t="s">
        <v>417</v>
      </c>
      <c r="E118" s="291" t="s">
        <v>418</v>
      </c>
      <c r="F118" s="430" t="s">
        <v>772</v>
      </c>
      <c r="G118" s="430">
        <f>SUM(L122:L128)</f>
        <v>48481500</v>
      </c>
      <c r="H118" s="430">
        <f>SUM(M122:M128)</f>
        <v>45000000</v>
      </c>
      <c r="I118" s="430">
        <f>SUM(N122:N128)</f>
        <v>5000000</v>
      </c>
      <c r="J118" s="430">
        <f>SUM(O122:O128)</f>
        <v>7000000</v>
      </c>
      <c r="K118" s="841"/>
      <c r="L118" s="832"/>
      <c r="M118" s="832"/>
      <c r="N118" s="832"/>
      <c r="O118" s="832"/>
      <c r="P118" s="237"/>
    </row>
    <row r="119" spans="1:15" ht="30" customHeight="1" thickBot="1">
      <c r="A119" s="851"/>
      <c r="B119" s="764"/>
      <c r="C119" s="577" t="s">
        <v>419</v>
      </c>
      <c r="D119" s="577" t="s">
        <v>420</v>
      </c>
      <c r="E119" s="291" t="s">
        <v>421</v>
      </c>
      <c r="F119" s="431" t="s">
        <v>696</v>
      </c>
      <c r="G119" s="431">
        <v>1611</v>
      </c>
      <c r="H119" s="431">
        <v>1640</v>
      </c>
      <c r="I119" s="575">
        <v>1670</v>
      </c>
      <c r="J119" s="576">
        <v>1700</v>
      </c>
      <c r="K119" s="841"/>
      <c r="L119" s="832"/>
      <c r="M119" s="832"/>
      <c r="N119" s="832"/>
      <c r="O119" s="832"/>
    </row>
    <row r="120" spans="1:15" ht="33" customHeight="1" thickBot="1">
      <c r="A120" s="851"/>
      <c r="B120" s="764"/>
      <c r="C120" s="577" t="s">
        <v>422</v>
      </c>
      <c r="D120" s="577" t="s">
        <v>423</v>
      </c>
      <c r="E120" s="291" t="s">
        <v>421</v>
      </c>
      <c r="F120" s="431" t="s">
        <v>697</v>
      </c>
      <c r="G120" s="431">
        <v>288</v>
      </c>
      <c r="H120" s="431">
        <v>325</v>
      </c>
      <c r="I120" s="575">
        <v>365</v>
      </c>
      <c r="J120" s="576">
        <v>400</v>
      </c>
      <c r="K120" s="841"/>
      <c r="L120" s="832"/>
      <c r="M120" s="832"/>
      <c r="N120" s="832"/>
      <c r="O120" s="832"/>
    </row>
    <row r="121" spans="1:15" ht="33" customHeight="1" thickBot="1">
      <c r="A121" s="852"/>
      <c r="B121" s="765"/>
      <c r="C121" s="579" t="s">
        <v>424</v>
      </c>
      <c r="D121" s="577" t="s">
        <v>425</v>
      </c>
      <c r="E121" s="291" t="s">
        <v>296</v>
      </c>
      <c r="F121" s="431" t="s">
        <v>698</v>
      </c>
      <c r="G121" s="431">
        <v>5</v>
      </c>
      <c r="H121" s="431">
        <v>10</v>
      </c>
      <c r="I121" s="431">
        <v>15</v>
      </c>
      <c r="J121" s="431">
        <v>20</v>
      </c>
      <c r="K121" s="833"/>
      <c r="L121" s="833"/>
      <c r="M121" s="833"/>
      <c r="N121" s="833"/>
      <c r="O121" s="833"/>
    </row>
    <row r="122" spans="1:17" ht="26.25" thickBot="1">
      <c r="A122" s="434"/>
      <c r="B122" s="284" t="s">
        <v>759</v>
      </c>
      <c r="C122" s="621"/>
      <c r="D122" s="622"/>
      <c r="E122" s="397"/>
      <c r="F122" s="433"/>
      <c r="G122" s="433"/>
      <c r="H122" s="285"/>
      <c r="I122" s="285"/>
      <c r="J122" s="285"/>
      <c r="K122" s="286">
        <v>0</v>
      </c>
      <c r="L122" s="286">
        <v>4587500</v>
      </c>
      <c r="M122" s="286">
        <v>0</v>
      </c>
      <c r="N122" s="286">
        <v>0</v>
      </c>
      <c r="O122" s="286">
        <v>0</v>
      </c>
      <c r="Q122" s="427"/>
    </row>
    <row r="123" spans="1:17" ht="27" customHeight="1" thickBot="1">
      <c r="A123" s="284"/>
      <c r="B123" s="284" t="s">
        <v>401</v>
      </c>
      <c r="C123" s="432"/>
      <c r="D123" s="432"/>
      <c r="E123" s="285"/>
      <c r="F123" s="433"/>
      <c r="G123" s="433"/>
      <c r="H123" s="285"/>
      <c r="I123" s="285"/>
      <c r="J123" s="285"/>
      <c r="K123" s="286">
        <v>0</v>
      </c>
      <c r="L123" s="286">
        <v>9000000</v>
      </c>
      <c r="M123" s="286">
        <v>0</v>
      </c>
      <c r="N123" s="286">
        <v>0</v>
      </c>
      <c r="O123" s="286">
        <v>0</v>
      </c>
      <c r="Q123" s="427"/>
    </row>
    <row r="124" spans="1:15" ht="26.25" thickBot="1">
      <c r="A124" s="284"/>
      <c r="B124" s="284" t="s">
        <v>402</v>
      </c>
      <c r="C124" s="285"/>
      <c r="D124" s="285"/>
      <c r="E124" s="285"/>
      <c r="F124" s="285"/>
      <c r="G124" s="285"/>
      <c r="H124" s="285"/>
      <c r="I124" s="285"/>
      <c r="J124" s="285"/>
      <c r="K124" s="286">
        <v>0</v>
      </c>
      <c r="L124" s="286">
        <v>7000000</v>
      </c>
      <c r="M124" s="286">
        <v>0</v>
      </c>
      <c r="N124" s="286">
        <v>0</v>
      </c>
      <c r="O124" s="286">
        <v>0</v>
      </c>
    </row>
    <row r="125" spans="1:15" ht="13.5" thickBot="1">
      <c r="A125" s="284"/>
      <c r="B125" s="284" t="s">
        <v>403</v>
      </c>
      <c r="C125" s="285"/>
      <c r="D125" s="285"/>
      <c r="E125" s="285"/>
      <c r="F125" s="285"/>
      <c r="G125" s="285"/>
      <c r="H125" s="285"/>
      <c r="I125" s="285"/>
      <c r="J125" s="285"/>
      <c r="K125" s="286">
        <v>456000</v>
      </c>
      <c r="L125" s="286">
        <v>9394000</v>
      </c>
      <c r="M125" s="286">
        <v>0</v>
      </c>
      <c r="N125" s="286">
        <v>0</v>
      </c>
      <c r="O125" s="286">
        <v>0</v>
      </c>
    </row>
    <row r="126" spans="1:15" ht="26.25" customHeight="1" thickBot="1">
      <c r="A126" s="284"/>
      <c r="B126" s="392" t="s">
        <v>404</v>
      </c>
      <c r="C126" s="287"/>
      <c r="D126" s="287"/>
      <c r="E126" s="287"/>
      <c r="F126" s="285"/>
      <c r="G126" s="285"/>
      <c r="H126" s="285"/>
      <c r="I126" s="285"/>
      <c r="J126" s="285"/>
      <c r="K126" s="286">
        <v>0</v>
      </c>
      <c r="L126" s="286">
        <v>8500000</v>
      </c>
      <c r="M126" s="286">
        <v>0</v>
      </c>
      <c r="N126" s="286">
        <v>0</v>
      </c>
      <c r="O126" s="286">
        <v>0</v>
      </c>
    </row>
    <row r="127" spans="1:15" ht="26.25" thickBot="1">
      <c r="A127" s="434"/>
      <c r="B127" s="397" t="s">
        <v>773</v>
      </c>
      <c r="C127" s="397"/>
      <c r="D127" s="397"/>
      <c r="E127" s="397"/>
      <c r="F127" s="285"/>
      <c r="G127" s="285"/>
      <c r="H127" s="285"/>
      <c r="I127" s="285"/>
      <c r="J127" s="285"/>
      <c r="K127" s="286">
        <v>0</v>
      </c>
      <c r="L127" s="286">
        <v>0</v>
      </c>
      <c r="M127" s="286">
        <v>0</v>
      </c>
      <c r="N127" s="286">
        <v>0</v>
      </c>
      <c r="O127" s="286">
        <v>7000000</v>
      </c>
    </row>
    <row r="128" spans="1:15" ht="29.25" customHeight="1" thickBot="1">
      <c r="A128" s="193"/>
      <c r="B128" s="688" t="s">
        <v>796</v>
      </c>
      <c r="C128" s="284"/>
      <c r="D128" s="285"/>
      <c r="E128" s="284"/>
      <c r="F128" s="285"/>
      <c r="G128" s="285"/>
      <c r="H128" s="285"/>
      <c r="I128" s="285"/>
      <c r="J128" s="285"/>
      <c r="K128" s="436">
        <v>0</v>
      </c>
      <c r="L128" s="436">
        <v>10000000</v>
      </c>
      <c r="M128" s="436">
        <v>45000000</v>
      </c>
      <c r="N128" s="436">
        <v>5000000</v>
      </c>
      <c r="O128" s="286">
        <v>0</v>
      </c>
    </row>
    <row r="129" spans="1:15" ht="26.25" thickBot="1">
      <c r="A129" s="193"/>
      <c r="B129" s="434" t="s">
        <v>820</v>
      </c>
      <c r="C129" s="193"/>
      <c r="D129" s="435"/>
      <c r="E129" s="193"/>
      <c r="F129" s="285"/>
      <c r="G129" s="285"/>
      <c r="H129" s="285"/>
      <c r="I129" s="285"/>
      <c r="J129" s="285"/>
      <c r="K129" s="436">
        <v>0</v>
      </c>
      <c r="L129" s="436">
        <v>6000000</v>
      </c>
      <c r="M129" s="436">
        <v>3000000</v>
      </c>
      <c r="N129" s="286">
        <v>0</v>
      </c>
      <c r="O129" s="286">
        <v>0</v>
      </c>
    </row>
    <row r="130" spans="1:15" ht="26.25" thickBot="1">
      <c r="A130" s="193"/>
      <c r="B130" s="437" t="s">
        <v>407</v>
      </c>
      <c r="C130" s="435"/>
      <c r="D130" s="435"/>
      <c r="E130" s="437"/>
      <c r="F130" s="285"/>
      <c r="G130" s="285"/>
      <c r="H130" s="285"/>
      <c r="I130" s="285"/>
      <c r="J130" s="287"/>
      <c r="K130" s="436">
        <v>0</v>
      </c>
      <c r="L130" s="436">
        <v>10500000</v>
      </c>
      <c r="M130" s="436">
        <v>10500000</v>
      </c>
      <c r="N130" s="436">
        <v>10500000</v>
      </c>
      <c r="O130" s="436">
        <v>10500000</v>
      </c>
    </row>
    <row r="131" spans="1:15" ht="26.25" thickBot="1">
      <c r="A131" s="253"/>
      <c r="B131" s="193" t="s">
        <v>408</v>
      </c>
      <c r="C131" s="193"/>
      <c r="D131" s="193"/>
      <c r="E131" s="437"/>
      <c r="F131" s="285"/>
      <c r="G131" s="285"/>
      <c r="H131" s="285"/>
      <c r="I131" s="624"/>
      <c r="J131" s="397"/>
      <c r="K131" s="625">
        <v>0</v>
      </c>
      <c r="L131" s="438">
        <v>6436500</v>
      </c>
      <c r="M131" s="438">
        <v>6706000</v>
      </c>
      <c r="N131" s="438">
        <v>6750000</v>
      </c>
      <c r="O131" s="438">
        <v>6780000</v>
      </c>
    </row>
    <row r="132" spans="1:15" ht="13.5" thickBot="1">
      <c r="A132" s="253"/>
      <c r="B132" s="253" t="s">
        <v>409</v>
      </c>
      <c r="C132" s="253"/>
      <c r="D132" s="253"/>
      <c r="E132" s="439"/>
      <c r="F132" s="287"/>
      <c r="G132" s="287"/>
      <c r="H132" s="287"/>
      <c r="I132" s="287"/>
      <c r="J132" s="287"/>
      <c r="K132" s="438">
        <v>0</v>
      </c>
      <c r="L132" s="438">
        <v>6151760</v>
      </c>
      <c r="M132" s="438">
        <v>6101760</v>
      </c>
      <c r="N132" s="438">
        <v>6100000</v>
      </c>
      <c r="O132" s="440">
        <v>6100000</v>
      </c>
    </row>
    <row r="133" spans="1:16" s="444" customFormat="1" ht="39" thickBot="1">
      <c r="A133" s="193"/>
      <c r="B133" s="193" t="s">
        <v>410</v>
      </c>
      <c r="C133" s="193"/>
      <c r="D133" s="193"/>
      <c r="E133" s="193"/>
      <c r="F133" s="193"/>
      <c r="G133" s="193"/>
      <c r="H133" s="193"/>
      <c r="I133" s="193"/>
      <c r="J133" s="193"/>
      <c r="K133" s="436">
        <v>0</v>
      </c>
      <c r="L133" s="436">
        <v>180000</v>
      </c>
      <c r="M133" s="436">
        <v>180000</v>
      </c>
      <c r="N133" s="441">
        <v>180000</v>
      </c>
      <c r="O133" s="442">
        <v>180000</v>
      </c>
      <c r="P133" s="443"/>
    </row>
    <row r="134" spans="1:15" s="444" customFormat="1" ht="26.25" thickBot="1">
      <c r="A134" s="253"/>
      <c r="B134" s="193" t="s">
        <v>411</v>
      </c>
      <c r="C134" s="193"/>
      <c r="D134" s="193"/>
      <c r="E134" s="193"/>
      <c r="F134" s="285"/>
      <c r="G134" s="284"/>
      <c r="H134" s="284"/>
      <c r="I134" s="284"/>
      <c r="J134" s="392"/>
      <c r="K134" s="438">
        <v>0</v>
      </c>
      <c r="L134" s="438">
        <v>400000</v>
      </c>
      <c r="M134" s="438">
        <v>600000</v>
      </c>
      <c r="N134" s="286">
        <v>0</v>
      </c>
      <c r="O134" s="286">
        <v>0</v>
      </c>
    </row>
    <row r="135" spans="1:15" s="444" customFormat="1" ht="39" thickBot="1">
      <c r="A135" s="253"/>
      <c r="B135" s="193" t="s">
        <v>412</v>
      </c>
      <c r="C135" s="193"/>
      <c r="D135" s="193"/>
      <c r="E135" s="193"/>
      <c r="F135" s="193"/>
      <c r="G135" s="193"/>
      <c r="H135" s="193"/>
      <c r="I135" s="193"/>
      <c r="J135" s="253"/>
      <c r="K135" s="436">
        <v>0</v>
      </c>
      <c r="L135" s="436">
        <v>200000</v>
      </c>
      <c r="M135" s="436">
        <v>800000</v>
      </c>
      <c r="N135" s="286">
        <v>0</v>
      </c>
      <c r="O135" s="286">
        <v>0</v>
      </c>
    </row>
    <row r="136" spans="1:15" ht="77.25" customHeight="1" thickBot="1">
      <c r="A136" s="813" t="s">
        <v>175</v>
      </c>
      <c r="B136" s="817" t="s">
        <v>218</v>
      </c>
      <c r="C136" s="523" t="s">
        <v>426</v>
      </c>
      <c r="D136" s="524" t="s">
        <v>427</v>
      </c>
      <c r="E136" s="657" t="s">
        <v>421</v>
      </c>
      <c r="F136" s="445" t="s">
        <v>699</v>
      </c>
      <c r="G136" s="446">
        <v>18</v>
      </c>
      <c r="H136" s="446">
        <v>19</v>
      </c>
      <c r="I136" s="655">
        <v>19</v>
      </c>
      <c r="J136" s="456">
        <v>20</v>
      </c>
      <c r="K136" s="841">
        <f>SUM(K138:K139)</f>
        <v>0</v>
      </c>
      <c r="L136" s="832">
        <f>SUM(L138:L139)</f>
        <v>261700</v>
      </c>
      <c r="M136" s="832">
        <f>SUM(M138:M139)</f>
        <v>462350</v>
      </c>
      <c r="N136" s="832">
        <f>SUM(N138:N139)</f>
        <v>312350</v>
      </c>
      <c r="O136" s="832">
        <f>SUM(O138:O139)</f>
        <v>13000</v>
      </c>
    </row>
    <row r="137" spans="1:16" ht="108" customHeight="1" thickBot="1">
      <c r="A137" s="815"/>
      <c r="B137" s="818"/>
      <c r="C137" s="509" t="s">
        <v>428</v>
      </c>
      <c r="D137" s="516" t="s">
        <v>761</v>
      </c>
      <c r="E137" s="291" t="s">
        <v>296</v>
      </c>
      <c r="F137" s="428" t="s">
        <v>700</v>
      </c>
      <c r="G137" s="446">
        <v>3</v>
      </c>
      <c r="H137" s="446">
        <v>3</v>
      </c>
      <c r="I137" s="446">
        <v>3</v>
      </c>
      <c r="J137" s="446">
        <v>3</v>
      </c>
      <c r="K137" s="833"/>
      <c r="L137" s="833"/>
      <c r="M137" s="833"/>
      <c r="N137" s="833"/>
      <c r="O137" s="833"/>
      <c r="P137" s="237"/>
    </row>
    <row r="138" spans="1:15" ht="26.25" thickBot="1">
      <c r="A138" s="284"/>
      <c r="B138" s="284" t="s">
        <v>782</v>
      </c>
      <c r="C138" s="285"/>
      <c r="D138" s="285"/>
      <c r="E138" s="285"/>
      <c r="F138" s="285"/>
      <c r="G138" s="285"/>
      <c r="H138" s="285"/>
      <c r="I138" s="285"/>
      <c r="J138" s="285"/>
      <c r="K138" s="286">
        <v>0</v>
      </c>
      <c r="L138" s="286">
        <v>11700</v>
      </c>
      <c r="M138" s="286">
        <v>12350</v>
      </c>
      <c r="N138" s="286">
        <v>12350</v>
      </c>
      <c r="O138" s="286">
        <v>13000</v>
      </c>
    </row>
    <row r="139" spans="1:15" ht="13.5" thickBot="1">
      <c r="A139" s="284"/>
      <c r="B139" s="284" t="s">
        <v>430</v>
      </c>
      <c r="C139" s="285"/>
      <c r="D139" s="285"/>
      <c r="E139" s="285"/>
      <c r="F139" s="285"/>
      <c r="G139" s="285"/>
      <c r="H139" s="285"/>
      <c r="I139" s="285"/>
      <c r="J139" s="285"/>
      <c r="K139" s="286">
        <v>0</v>
      </c>
      <c r="L139" s="286">
        <v>250000</v>
      </c>
      <c r="M139" s="286">
        <v>450000</v>
      </c>
      <c r="N139" s="286">
        <v>300000</v>
      </c>
      <c r="O139" s="286">
        <v>0</v>
      </c>
    </row>
    <row r="140" spans="1:15" s="698" customFormat="1" ht="94.5" customHeight="1">
      <c r="A140" s="691" t="s">
        <v>176</v>
      </c>
      <c r="B140" s="690" t="s">
        <v>219</v>
      </c>
      <c r="C140" s="692" t="s">
        <v>431</v>
      </c>
      <c r="D140" s="693" t="s">
        <v>432</v>
      </c>
      <c r="E140" s="694" t="s">
        <v>433</v>
      </c>
      <c r="F140" s="695" t="s">
        <v>701</v>
      </c>
      <c r="G140" s="696">
        <v>450</v>
      </c>
      <c r="H140" s="696">
        <v>500</v>
      </c>
      <c r="I140" s="696">
        <v>600</v>
      </c>
      <c r="J140" s="696">
        <v>660</v>
      </c>
      <c r="K140" s="697">
        <f>SUM(K141)</f>
        <v>0</v>
      </c>
      <c r="L140" s="697">
        <f>SUM(L141)</f>
        <v>36960</v>
      </c>
      <c r="M140" s="697">
        <f>SUM(M141)</f>
        <v>43680</v>
      </c>
      <c r="N140" s="697">
        <f>SUM(N141)</f>
        <v>47040</v>
      </c>
      <c r="O140" s="697">
        <f>SUM(O141)</f>
        <v>50400</v>
      </c>
    </row>
    <row r="141" spans="1:15" ht="13.5" thickBot="1">
      <c r="A141" s="284"/>
      <c r="B141" s="284" t="s">
        <v>434</v>
      </c>
      <c r="C141" s="285"/>
      <c r="D141" s="285"/>
      <c r="E141" s="285"/>
      <c r="F141" s="285"/>
      <c r="G141" s="285"/>
      <c r="H141" s="285"/>
      <c r="I141" s="285"/>
      <c r="J141" s="287"/>
      <c r="K141" s="286">
        <v>0</v>
      </c>
      <c r="L141" s="286">
        <v>36960</v>
      </c>
      <c r="M141" s="286">
        <v>43680</v>
      </c>
      <c r="N141" s="286">
        <v>47040</v>
      </c>
      <c r="O141" s="286">
        <v>50400</v>
      </c>
    </row>
    <row r="142" spans="1:15" s="698" customFormat="1" ht="78.75" customHeight="1">
      <c r="A142" s="691" t="s">
        <v>178</v>
      </c>
      <c r="B142" s="699" t="s">
        <v>177</v>
      </c>
      <c r="C142" s="692" t="s">
        <v>435</v>
      </c>
      <c r="D142" s="693" t="s">
        <v>436</v>
      </c>
      <c r="E142" s="694" t="s">
        <v>437</v>
      </c>
      <c r="F142" s="695" t="s">
        <v>702</v>
      </c>
      <c r="G142" s="696">
        <v>375</v>
      </c>
      <c r="H142" s="696">
        <v>380</v>
      </c>
      <c r="I142" s="700">
        <v>385</v>
      </c>
      <c r="J142" s="701">
        <v>400</v>
      </c>
      <c r="K142" s="702">
        <f>SUM(K143)</f>
        <v>0</v>
      </c>
      <c r="L142" s="697">
        <f>SUM(L143)</f>
        <v>449000</v>
      </c>
      <c r="M142" s="697">
        <f>SUM(M143)</f>
        <v>456000</v>
      </c>
      <c r="N142" s="697">
        <f>SUM(N143)</f>
        <v>460000</v>
      </c>
      <c r="O142" s="697">
        <f>SUM(O143)</f>
        <v>470000</v>
      </c>
    </row>
    <row r="143" spans="1:15" ht="26.25" thickBot="1">
      <c r="A143" s="284"/>
      <c r="B143" s="284" t="s">
        <v>438</v>
      </c>
      <c r="C143" s="285"/>
      <c r="D143" s="285"/>
      <c r="E143" s="285"/>
      <c r="F143" s="285"/>
      <c r="G143" s="285"/>
      <c r="H143" s="285"/>
      <c r="I143" s="285"/>
      <c r="J143" s="287"/>
      <c r="K143" s="286">
        <v>0</v>
      </c>
      <c r="L143" s="286">
        <v>449000</v>
      </c>
      <c r="M143" s="286">
        <v>456000</v>
      </c>
      <c r="N143" s="286">
        <v>460000</v>
      </c>
      <c r="O143" s="286">
        <v>470000</v>
      </c>
    </row>
    <row r="144" spans="1:15" ht="37.5" customHeight="1" thickBot="1">
      <c r="A144" s="834" t="s">
        <v>217</v>
      </c>
      <c r="B144" s="853" t="s">
        <v>179</v>
      </c>
      <c r="C144" s="280" t="s">
        <v>439</v>
      </c>
      <c r="D144" s="281" t="s">
        <v>440</v>
      </c>
      <c r="E144" s="541" t="s">
        <v>441</v>
      </c>
      <c r="F144" s="428" t="s">
        <v>703</v>
      </c>
      <c r="G144" s="447">
        <v>0.193</v>
      </c>
      <c r="H144" s="447">
        <v>0.191</v>
      </c>
      <c r="I144" s="580">
        <v>0.189</v>
      </c>
      <c r="J144" s="581">
        <v>0.187</v>
      </c>
      <c r="K144" s="840">
        <f>SUM(K147:K148)</f>
        <v>0</v>
      </c>
      <c r="L144" s="831">
        <f>SUM(L147:L148)</f>
        <v>4261000</v>
      </c>
      <c r="M144" s="831">
        <f>SUM(M147:M148)</f>
        <v>4363800</v>
      </c>
      <c r="N144" s="831">
        <f>SUM(N147:N148)</f>
        <v>4455700</v>
      </c>
      <c r="O144" s="831">
        <f>SUM(O147:O148)</f>
        <v>4488000</v>
      </c>
    </row>
    <row r="145" spans="1:16" ht="46.5" customHeight="1" thickBot="1">
      <c r="A145" s="835"/>
      <c r="B145" s="854"/>
      <c r="C145" s="280" t="s">
        <v>442</v>
      </c>
      <c r="D145" s="281" t="s">
        <v>443</v>
      </c>
      <c r="E145" s="541" t="s">
        <v>444</v>
      </c>
      <c r="F145" s="428" t="s">
        <v>704</v>
      </c>
      <c r="G145" s="447">
        <v>0.129</v>
      </c>
      <c r="H145" s="447">
        <v>0.132</v>
      </c>
      <c r="I145" s="580">
        <v>0.135</v>
      </c>
      <c r="J145" s="581">
        <v>0.138</v>
      </c>
      <c r="K145" s="841"/>
      <c r="L145" s="832"/>
      <c r="M145" s="832"/>
      <c r="N145" s="832"/>
      <c r="O145" s="832"/>
      <c r="P145" s="237"/>
    </row>
    <row r="146" spans="1:15" ht="43.5" customHeight="1" thickBot="1">
      <c r="A146" s="836"/>
      <c r="B146" s="855"/>
      <c r="C146" s="200" t="s">
        <v>445</v>
      </c>
      <c r="D146" s="200" t="s">
        <v>446</v>
      </c>
      <c r="E146" s="429" t="s">
        <v>447</v>
      </c>
      <c r="F146" s="445" t="s">
        <v>705</v>
      </c>
      <c r="G146" s="448">
        <v>0.21</v>
      </c>
      <c r="H146" s="448">
        <v>0.22</v>
      </c>
      <c r="I146" s="448">
        <v>0.23</v>
      </c>
      <c r="J146" s="448">
        <v>0.24</v>
      </c>
      <c r="K146" s="833"/>
      <c r="L146" s="833"/>
      <c r="M146" s="833"/>
      <c r="N146" s="833"/>
      <c r="O146" s="833"/>
    </row>
    <row r="147" spans="1:15" ht="13.5" thickBot="1">
      <c r="A147" s="284"/>
      <c r="B147" s="284" t="s">
        <v>448</v>
      </c>
      <c r="C147" s="285"/>
      <c r="D147" s="285"/>
      <c r="E147" s="285"/>
      <c r="F147" s="285"/>
      <c r="G147" s="285"/>
      <c r="H147" s="285"/>
      <c r="I147" s="285"/>
      <c r="J147" s="285"/>
      <c r="K147" s="286">
        <v>0</v>
      </c>
      <c r="L147" s="286">
        <v>381000</v>
      </c>
      <c r="M147" s="286">
        <v>383800</v>
      </c>
      <c r="N147" s="286">
        <v>385700</v>
      </c>
      <c r="O147" s="286">
        <v>388000</v>
      </c>
    </row>
    <row r="148" spans="1:15" ht="26.25" thickBot="1">
      <c r="A148" s="284"/>
      <c r="B148" s="284" t="s">
        <v>449</v>
      </c>
      <c r="C148" s="285"/>
      <c r="D148" s="285"/>
      <c r="E148" s="285"/>
      <c r="F148" s="285"/>
      <c r="G148" s="285"/>
      <c r="H148" s="285"/>
      <c r="I148" s="285"/>
      <c r="J148" s="285"/>
      <c r="K148" s="286">
        <v>0</v>
      </c>
      <c r="L148" s="286">
        <v>3880000</v>
      </c>
      <c r="M148" s="286">
        <v>3980000</v>
      </c>
      <c r="N148" s="286">
        <v>4070000</v>
      </c>
      <c r="O148" s="286">
        <v>4100000</v>
      </c>
    </row>
    <row r="149" spans="1:15" ht="13.5" thickBot="1">
      <c r="A149" s="806" t="s">
        <v>180</v>
      </c>
      <c r="B149" s="808" t="s">
        <v>181</v>
      </c>
      <c r="C149" s="278"/>
      <c r="D149" s="646"/>
      <c r="E149" s="646"/>
      <c r="F149" s="188"/>
      <c r="G149" s="188"/>
      <c r="H149" s="188"/>
      <c r="I149" s="188"/>
      <c r="J149" s="644"/>
      <c r="K149" s="731">
        <f>SUM(K151+K158+K163)</f>
        <v>500000</v>
      </c>
      <c r="L149" s="731">
        <f>SUM(L151+L158+L163)</f>
        <v>11727311.75</v>
      </c>
      <c r="M149" s="731">
        <f>SUM(M151+M158+M163)</f>
        <v>42368716.02</v>
      </c>
      <c r="N149" s="731">
        <f>SUM(N151+N158+N163)</f>
        <v>31203793.75</v>
      </c>
      <c r="O149" s="731">
        <f>SUM(O151+O158+O163)</f>
        <v>2681382.1799999997</v>
      </c>
    </row>
    <row r="150" spans="1:16" ht="42" customHeight="1" thickBot="1">
      <c r="A150" s="807"/>
      <c r="B150" s="809"/>
      <c r="C150" s="279"/>
      <c r="D150" s="645"/>
      <c r="E150" s="645"/>
      <c r="F150" s="188"/>
      <c r="G150" s="188"/>
      <c r="H150" s="188"/>
      <c r="I150" s="188"/>
      <c r="J150" s="645"/>
      <c r="K150" s="732"/>
      <c r="L150" s="732"/>
      <c r="M150" s="732"/>
      <c r="N150" s="732"/>
      <c r="O150" s="732"/>
      <c r="P150" s="237"/>
    </row>
    <row r="151" spans="1:15" ht="48" customHeight="1" thickBot="1">
      <c r="A151" s="813" t="s">
        <v>182</v>
      </c>
      <c r="B151" s="816" t="s">
        <v>184</v>
      </c>
      <c r="C151" s="280" t="s">
        <v>775</v>
      </c>
      <c r="D151" s="281" t="s">
        <v>450</v>
      </c>
      <c r="E151" s="541" t="s">
        <v>272</v>
      </c>
      <c r="F151" s="428" t="s">
        <v>680</v>
      </c>
      <c r="G151" s="449">
        <v>0.02</v>
      </c>
      <c r="H151" s="449">
        <v>0.04</v>
      </c>
      <c r="I151" s="582">
        <v>0.06</v>
      </c>
      <c r="J151" s="583">
        <v>0.08</v>
      </c>
      <c r="K151" s="840">
        <f>SUM(K153:K157)</f>
        <v>500000</v>
      </c>
      <c r="L151" s="831">
        <f>SUM(L153:L157)</f>
        <v>7947311.75</v>
      </c>
      <c r="M151" s="831">
        <f>SUM(M153:M157)</f>
        <v>39988716.02</v>
      </c>
      <c r="N151" s="831">
        <f>SUM(N153:N157)</f>
        <v>29618793.75</v>
      </c>
      <c r="O151" s="831">
        <f>SUM(O153:O157)</f>
        <v>1091382.18</v>
      </c>
    </row>
    <row r="152" spans="1:16" ht="36.75" customHeight="1" thickBot="1">
      <c r="A152" s="815"/>
      <c r="B152" s="818"/>
      <c r="C152" s="282" t="s">
        <v>451</v>
      </c>
      <c r="D152" s="283" t="s">
        <v>452</v>
      </c>
      <c r="E152" s="291" t="s">
        <v>418</v>
      </c>
      <c r="F152" s="450" t="s">
        <v>706</v>
      </c>
      <c r="G152" s="451">
        <v>18650000</v>
      </c>
      <c r="H152" s="451">
        <v>2700000</v>
      </c>
      <c r="I152" s="451">
        <v>35000000</v>
      </c>
      <c r="J152" s="451">
        <v>1000000</v>
      </c>
      <c r="K152" s="833"/>
      <c r="L152" s="833"/>
      <c r="M152" s="833"/>
      <c r="N152" s="833"/>
      <c r="O152" s="833"/>
      <c r="P152" s="237"/>
    </row>
    <row r="153" spans="1:15" ht="26.25" thickBot="1">
      <c r="A153" s="284"/>
      <c r="B153" s="284" t="s">
        <v>453</v>
      </c>
      <c r="C153" s="285"/>
      <c r="D153" s="285"/>
      <c r="E153" s="285"/>
      <c r="F153" s="285"/>
      <c r="G153" s="285"/>
      <c r="H153" s="285"/>
      <c r="I153" s="285"/>
      <c r="J153" s="285"/>
      <c r="K153" s="286">
        <v>500000</v>
      </c>
      <c r="L153" s="286">
        <v>950000</v>
      </c>
      <c r="M153" s="286">
        <v>350000</v>
      </c>
      <c r="N153" s="286">
        <v>1150000</v>
      </c>
      <c r="O153" s="286">
        <v>550000</v>
      </c>
    </row>
    <row r="154" spans="1:16" s="153" customFormat="1" ht="66.75" customHeight="1" thickBot="1">
      <c r="A154" s="682"/>
      <c r="B154" s="682" t="s">
        <v>809</v>
      </c>
      <c r="C154" s="712"/>
      <c r="D154" s="712"/>
      <c r="E154" s="712"/>
      <c r="F154" s="712"/>
      <c r="G154" s="712"/>
      <c r="H154" s="712"/>
      <c r="I154" s="712"/>
      <c r="J154" s="712"/>
      <c r="K154" s="713">
        <v>0</v>
      </c>
      <c r="L154" s="713">
        <v>251898.75</v>
      </c>
      <c r="M154" s="713">
        <v>36478303.02</v>
      </c>
      <c r="N154" s="713">
        <v>27933793.75</v>
      </c>
      <c r="O154" s="713">
        <v>91382.18</v>
      </c>
      <c r="P154" s="714"/>
    </row>
    <row r="155" spans="1:16" s="153" customFormat="1" ht="38.25" customHeight="1" thickBot="1">
      <c r="A155" s="682"/>
      <c r="B155" s="682" t="s">
        <v>808</v>
      </c>
      <c r="C155" s="712"/>
      <c r="D155" s="712"/>
      <c r="E155" s="712"/>
      <c r="F155" s="712"/>
      <c r="G155" s="712"/>
      <c r="H155" s="712"/>
      <c r="I155" s="712"/>
      <c r="J155" s="712"/>
      <c r="K155" s="713">
        <v>0</v>
      </c>
      <c r="L155" s="713">
        <v>5500000</v>
      </c>
      <c r="M155" s="713">
        <v>1900000</v>
      </c>
      <c r="N155" s="713">
        <v>90000</v>
      </c>
      <c r="O155" s="713">
        <v>0</v>
      </c>
      <c r="P155" s="714"/>
    </row>
    <row r="156" spans="1:16" ht="26.25" thickBot="1">
      <c r="A156" s="284"/>
      <c r="B156" s="284" t="s">
        <v>455</v>
      </c>
      <c r="C156" s="285"/>
      <c r="D156" s="285"/>
      <c r="E156" s="285"/>
      <c r="F156" s="285"/>
      <c r="G156" s="285"/>
      <c r="H156" s="285"/>
      <c r="I156" s="285"/>
      <c r="J156" s="285"/>
      <c r="K156" s="286">
        <v>0</v>
      </c>
      <c r="L156" s="286">
        <v>425000</v>
      </c>
      <c r="M156" s="286">
        <v>440000</v>
      </c>
      <c r="N156" s="286">
        <v>445000</v>
      </c>
      <c r="O156" s="286">
        <v>450000</v>
      </c>
      <c r="P156" s="237"/>
    </row>
    <row r="157" spans="1:15" ht="26.25" thickBot="1">
      <c r="A157" s="392"/>
      <c r="B157" s="452" t="s">
        <v>456</v>
      </c>
      <c r="C157" s="287"/>
      <c r="D157" s="287"/>
      <c r="E157" s="453"/>
      <c r="F157" s="285"/>
      <c r="G157" s="285"/>
      <c r="H157" s="285"/>
      <c r="I157" s="285"/>
      <c r="J157" s="287"/>
      <c r="K157" s="393">
        <v>0</v>
      </c>
      <c r="L157" s="393">
        <v>820413</v>
      </c>
      <c r="M157" s="393">
        <v>820413</v>
      </c>
      <c r="N157" s="393">
        <v>0</v>
      </c>
      <c r="O157" s="393">
        <v>0</v>
      </c>
    </row>
    <row r="158" spans="1:15" ht="47.25" customHeight="1" thickBot="1">
      <c r="A158" s="834" t="s">
        <v>183</v>
      </c>
      <c r="B158" s="853" t="s">
        <v>190</v>
      </c>
      <c r="C158" s="280" t="s">
        <v>457</v>
      </c>
      <c r="D158" s="281" t="s">
        <v>458</v>
      </c>
      <c r="E158" s="541" t="s">
        <v>459</v>
      </c>
      <c r="F158" s="454" t="s">
        <v>707</v>
      </c>
      <c r="G158" s="449">
        <v>0.76</v>
      </c>
      <c r="H158" s="449">
        <v>0.78</v>
      </c>
      <c r="I158" s="582">
        <v>0.79</v>
      </c>
      <c r="J158" s="583">
        <v>0.8</v>
      </c>
      <c r="K158" s="840">
        <f>SUM(K161:K162)</f>
        <v>0</v>
      </c>
      <c r="L158" s="831">
        <f>SUM(L161:L162)</f>
        <v>80000</v>
      </c>
      <c r="M158" s="831">
        <f>SUM(M161:M162)</f>
        <v>80000</v>
      </c>
      <c r="N158" s="831">
        <f>SUM(N161:N162)</f>
        <v>85000</v>
      </c>
      <c r="O158" s="831">
        <f>SUM(O161:O162)</f>
        <v>90000</v>
      </c>
    </row>
    <row r="159" spans="1:15" ht="46.5" customHeight="1" thickBot="1">
      <c r="A159" s="835"/>
      <c r="B159" s="854"/>
      <c r="C159" s="280" t="s">
        <v>460</v>
      </c>
      <c r="D159" s="281" t="s">
        <v>458</v>
      </c>
      <c r="E159" s="541" t="s">
        <v>459</v>
      </c>
      <c r="F159" s="455" t="s">
        <v>708</v>
      </c>
      <c r="G159" s="449">
        <v>0.43</v>
      </c>
      <c r="H159" s="449">
        <v>0.47</v>
      </c>
      <c r="I159" s="582">
        <v>0.5</v>
      </c>
      <c r="J159" s="583">
        <v>0.45</v>
      </c>
      <c r="K159" s="841"/>
      <c r="L159" s="832"/>
      <c r="M159" s="832"/>
      <c r="N159" s="832"/>
      <c r="O159" s="832"/>
    </row>
    <row r="160" spans="1:16" ht="44.25" customHeight="1" thickBot="1">
      <c r="A160" s="836"/>
      <c r="B160" s="855"/>
      <c r="C160" s="200" t="s">
        <v>461</v>
      </c>
      <c r="D160" s="200" t="s">
        <v>458</v>
      </c>
      <c r="E160" s="429" t="s">
        <v>459</v>
      </c>
      <c r="F160" s="448" t="s">
        <v>709</v>
      </c>
      <c r="G160" s="448">
        <v>0.35</v>
      </c>
      <c r="H160" s="448">
        <v>0.38</v>
      </c>
      <c r="I160" s="448">
        <v>0.42</v>
      </c>
      <c r="J160" s="448">
        <v>0.52</v>
      </c>
      <c r="K160" s="833"/>
      <c r="L160" s="833"/>
      <c r="M160" s="833"/>
      <c r="N160" s="833"/>
      <c r="O160" s="833"/>
      <c r="P160" s="237"/>
    </row>
    <row r="161" spans="1:15" ht="26.25" thickBot="1">
      <c r="A161" s="284"/>
      <c r="B161" s="284" t="s">
        <v>462</v>
      </c>
      <c r="C161" s="285"/>
      <c r="D161" s="285"/>
      <c r="E161" s="285"/>
      <c r="F161" s="285"/>
      <c r="G161" s="285"/>
      <c r="H161" s="285"/>
      <c r="I161" s="285"/>
      <c r="J161" s="285"/>
      <c r="K161" s="286"/>
      <c r="L161" s="286">
        <v>70000</v>
      </c>
      <c r="M161" s="286">
        <v>70000</v>
      </c>
      <c r="N161" s="286">
        <v>75000</v>
      </c>
      <c r="O161" s="286">
        <v>80000</v>
      </c>
    </row>
    <row r="162" spans="1:15" ht="13.5" thickBot="1">
      <c r="A162" s="284"/>
      <c r="B162" s="284" t="s">
        <v>783</v>
      </c>
      <c r="C162" s="285"/>
      <c r="D162" s="285"/>
      <c r="E162" s="285"/>
      <c r="F162" s="285"/>
      <c r="G162" s="285"/>
      <c r="H162" s="285"/>
      <c r="I162" s="285"/>
      <c r="J162" s="285"/>
      <c r="K162" s="286"/>
      <c r="L162" s="286">
        <v>10000</v>
      </c>
      <c r="M162" s="286">
        <v>10000</v>
      </c>
      <c r="N162" s="286">
        <v>10000</v>
      </c>
      <c r="O162" s="286">
        <v>10000</v>
      </c>
    </row>
    <row r="163" spans="1:15" ht="75.75" customHeight="1">
      <c r="A163" s="651" t="s">
        <v>192</v>
      </c>
      <c r="B163" s="652" t="s">
        <v>191</v>
      </c>
      <c r="C163" s="542" t="s">
        <v>464</v>
      </c>
      <c r="D163" s="543" t="s">
        <v>762</v>
      </c>
      <c r="E163" s="656" t="s">
        <v>465</v>
      </c>
      <c r="F163" s="542" t="s">
        <v>710</v>
      </c>
      <c r="G163" s="543">
        <v>4</v>
      </c>
      <c r="H163" s="543">
        <v>5</v>
      </c>
      <c r="I163" s="543">
        <v>5</v>
      </c>
      <c r="J163" s="543">
        <v>6</v>
      </c>
      <c r="K163" s="650">
        <f>SUM(K164:K165)</f>
        <v>0</v>
      </c>
      <c r="L163" s="650">
        <f>SUM(L164:L165)</f>
        <v>3700000</v>
      </c>
      <c r="M163" s="650">
        <f>SUM(M164:M165)</f>
        <v>2300000</v>
      </c>
      <c r="N163" s="650">
        <f>SUM(N164:N165)</f>
        <v>1500000</v>
      </c>
      <c r="O163" s="650">
        <f>SUM(O164:O165)</f>
        <v>1500000</v>
      </c>
    </row>
    <row r="164" spans="1:15" ht="26.25" thickBot="1">
      <c r="A164" s="284"/>
      <c r="B164" s="284" t="s">
        <v>466</v>
      </c>
      <c r="C164" s="285"/>
      <c r="D164" s="285"/>
      <c r="E164" s="285"/>
      <c r="F164" s="285"/>
      <c r="G164" s="285"/>
      <c r="H164" s="285"/>
      <c r="I164" s="285"/>
      <c r="J164" s="285"/>
      <c r="K164" s="286"/>
      <c r="L164" s="286">
        <v>2200000</v>
      </c>
      <c r="M164" s="286">
        <v>1500000</v>
      </c>
      <c r="N164" s="286">
        <v>1500000</v>
      </c>
      <c r="O164" s="286">
        <v>1500000</v>
      </c>
    </row>
    <row r="165" spans="1:15" ht="13.5" thickBot="1">
      <c r="A165" s="284"/>
      <c r="B165" s="284" t="s">
        <v>467</v>
      </c>
      <c r="C165" s="285"/>
      <c r="D165" s="285"/>
      <c r="E165" s="285"/>
      <c r="F165" s="285"/>
      <c r="G165" s="285"/>
      <c r="H165" s="285"/>
      <c r="I165" s="285"/>
      <c r="J165" s="285"/>
      <c r="K165" s="286"/>
      <c r="L165" s="286">
        <v>1500000</v>
      </c>
      <c r="M165" s="286">
        <v>800000</v>
      </c>
      <c r="N165" s="286">
        <v>0</v>
      </c>
      <c r="O165" s="286">
        <v>0</v>
      </c>
    </row>
    <row r="166" spans="1:15" ht="13.5" thickBot="1">
      <c r="A166" s="806" t="s">
        <v>185</v>
      </c>
      <c r="B166" s="808" t="s">
        <v>186</v>
      </c>
      <c r="C166" s="278"/>
      <c r="D166" s="646"/>
      <c r="E166" s="646"/>
      <c r="F166" s="188"/>
      <c r="G166" s="188"/>
      <c r="H166" s="188"/>
      <c r="I166" s="188"/>
      <c r="J166" s="644"/>
      <c r="K166" s="731">
        <f>SUM(K168+K171)</f>
        <v>0</v>
      </c>
      <c r="L166" s="731">
        <f>SUM(L168+L171)</f>
        <v>1285000</v>
      </c>
      <c r="M166" s="731">
        <f>SUM(M168+M171)</f>
        <v>1345000</v>
      </c>
      <c r="N166" s="731">
        <f>SUM(N168+N171)</f>
        <v>1400000</v>
      </c>
      <c r="O166" s="731">
        <f>SUM(O168+O171)</f>
        <v>1525000</v>
      </c>
    </row>
    <row r="167" spans="1:16" ht="21" customHeight="1" thickBot="1">
      <c r="A167" s="807"/>
      <c r="B167" s="809"/>
      <c r="C167" s="279"/>
      <c r="D167" s="645"/>
      <c r="E167" s="645"/>
      <c r="F167" s="188"/>
      <c r="G167" s="188"/>
      <c r="H167" s="188"/>
      <c r="I167" s="188"/>
      <c r="J167" s="645"/>
      <c r="K167" s="732"/>
      <c r="L167" s="732"/>
      <c r="M167" s="732"/>
      <c r="N167" s="732"/>
      <c r="O167" s="732"/>
      <c r="P167" s="237"/>
    </row>
    <row r="168" spans="1:15" ht="33.75" customHeight="1" thickBot="1">
      <c r="A168" s="834" t="s">
        <v>187</v>
      </c>
      <c r="B168" s="856" t="s">
        <v>258</v>
      </c>
      <c r="C168" s="280" t="s">
        <v>468</v>
      </c>
      <c r="D168" s="281" t="s">
        <v>763</v>
      </c>
      <c r="E168" s="541" t="s">
        <v>469</v>
      </c>
      <c r="F168" s="428" t="s">
        <v>711</v>
      </c>
      <c r="G168" s="428">
        <v>1</v>
      </c>
      <c r="H168" s="428">
        <v>1</v>
      </c>
      <c r="I168" s="428">
        <v>2</v>
      </c>
      <c r="J168" s="428">
        <v>3</v>
      </c>
      <c r="K168" s="840">
        <f>SUM(K170)</f>
        <v>0</v>
      </c>
      <c r="L168" s="831">
        <f>SUM(L170)</f>
        <v>495000</v>
      </c>
      <c r="M168" s="831">
        <f>SUM(M170)</f>
        <v>500000</v>
      </c>
      <c r="N168" s="831">
        <f>SUM(N170)</f>
        <v>500000</v>
      </c>
      <c r="O168" s="831">
        <f>SUM(O170)</f>
        <v>550000</v>
      </c>
    </row>
    <row r="169" spans="1:16" ht="38.25" customHeight="1" thickBot="1">
      <c r="A169" s="836"/>
      <c r="B169" s="857"/>
      <c r="C169" s="297" t="s">
        <v>470</v>
      </c>
      <c r="D169" s="297" t="s">
        <v>471</v>
      </c>
      <c r="E169" s="456" t="s">
        <v>437</v>
      </c>
      <c r="F169" s="445" t="s">
        <v>712</v>
      </c>
      <c r="G169" s="445">
        <v>283</v>
      </c>
      <c r="H169" s="445">
        <v>298</v>
      </c>
      <c r="I169" s="445">
        <v>313</v>
      </c>
      <c r="J169" s="445">
        <v>328</v>
      </c>
      <c r="K169" s="833"/>
      <c r="L169" s="833"/>
      <c r="M169" s="833"/>
      <c r="N169" s="833"/>
      <c r="O169" s="833"/>
      <c r="P169" s="237"/>
    </row>
    <row r="170" spans="1:15" ht="26.25" thickBot="1">
      <c r="A170" s="284"/>
      <c r="B170" s="284" t="s">
        <v>472</v>
      </c>
      <c r="C170" s="285"/>
      <c r="D170" s="285"/>
      <c r="E170" s="285"/>
      <c r="F170" s="285"/>
      <c r="G170" s="285"/>
      <c r="H170" s="285"/>
      <c r="I170" s="285"/>
      <c r="J170" s="285"/>
      <c r="K170" s="286"/>
      <c r="L170" s="286">
        <v>495000</v>
      </c>
      <c r="M170" s="286">
        <v>500000</v>
      </c>
      <c r="N170" s="286">
        <v>500000</v>
      </c>
      <c r="O170" s="286">
        <v>550000</v>
      </c>
    </row>
    <row r="171" spans="1:15" ht="38.25" customHeight="1">
      <c r="A171" s="651" t="s">
        <v>188</v>
      </c>
      <c r="B171" s="652" t="s">
        <v>189</v>
      </c>
      <c r="C171" s="544" t="s">
        <v>473</v>
      </c>
      <c r="D171" s="545" t="s">
        <v>474</v>
      </c>
      <c r="E171" s="656" t="s">
        <v>437</v>
      </c>
      <c r="F171" s="584" t="s">
        <v>713</v>
      </c>
      <c r="G171" s="585">
        <v>5163</v>
      </c>
      <c r="H171" s="585">
        <v>5109</v>
      </c>
      <c r="I171" s="585">
        <v>5055</v>
      </c>
      <c r="J171" s="585">
        <v>5000</v>
      </c>
      <c r="K171" s="650">
        <f>SUM(K172:K174)</f>
        <v>0</v>
      </c>
      <c r="L171" s="650">
        <f>SUM(L172:L174)</f>
        <v>790000</v>
      </c>
      <c r="M171" s="650">
        <f>SUM(M172:M174)</f>
        <v>845000</v>
      </c>
      <c r="N171" s="650">
        <f>SUM(N172:N174)</f>
        <v>900000</v>
      </c>
      <c r="O171" s="650">
        <f>SUM(O172:O174)</f>
        <v>975000</v>
      </c>
    </row>
    <row r="172" spans="1:15" ht="13.5" thickBot="1">
      <c r="A172" s="284"/>
      <c r="B172" s="284" t="s">
        <v>784</v>
      </c>
      <c r="C172" s="285"/>
      <c r="D172" s="285"/>
      <c r="E172" s="285"/>
      <c r="F172" s="285"/>
      <c r="G172" s="285"/>
      <c r="H172" s="285"/>
      <c r="I172" s="285"/>
      <c r="J172" s="285"/>
      <c r="K172" s="286"/>
      <c r="L172" s="286">
        <v>360000</v>
      </c>
      <c r="M172" s="286">
        <v>360000</v>
      </c>
      <c r="N172" s="286">
        <v>360000</v>
      </c>
      <c r="O172" s="286">
        <v>380000</v>
      </c>
    </row>
    <row r="173" spans="1:15" ht="13.5" thickBot="1">
      <c r="A173" s="284"/>
      <c r="B173" s="284" t="s">
        <v>785</v>
      </c>
      <c r="C173" s="285"/>
      <c r="D173" s="285"/>
      <c r="E173" s="285"/>
      <c r="F173" s="285"/>
      <c r="G173" s="285"/>
      <c r="H173" s="285"/>
      <c r="I173" s="285"/>
      <c r="J173" s="285"/>
      <c r="K173" s="286"/>
      <c r="L173" s="286">
        <v>400000</v>
      </c>
      <c r="M173" s="286">
        <v>450000</v>
      </c>
      <c r="N173" s="286">
        <v>500000</v>
      </c>
      <c r="O173" s="286">
        <v>550000</v>
      </c>
    </row>
    <row r="174" spans="1:15" ht="13.5" thickBot="1">
      <c r="A174" s="284"/>
      <c r="B174" s="284" t="s">
        <v>477</v>
      </c>
      <c r="C174" s="285"/>
      <c r="D174" s="285"/>
      <c r="E174" s="285"/>
      <c r="F174" s="285"/>
      <c r="G174" s="285"/>
      <c r="H174" s="285"/>
      <c r="I174" s="285"/>
      <c r="J174" s="285"/>
      <c r="K174" s="286"/>
      <c r="L174" s="286">
        <v>30000</v>
      </c>
      <c r="M174" s="286">
        <v>35000</v>
      </c>
      <c r="N174" s="286">
        <v>40000</v>
      </c>
      <c r="O174" s="286">
        <v>45000</v>
      </c>
    </row>
    <row r="175" spans="1:15" ht="13.5" thickBot="1">
      <c r="A175" s="806" t="s">
        <v>193</v>
      </c>
      <c r="B175" s="808" t="s">
        <v>194</v>
      </c>
      <c r="C175" s="278"/>
      <c r="D175" s="646"/>
      <c r="E175" s="646"/>
      <c r="F175" s="188"/>
      <c r="G175" s="188"/>
      <c r="H175" s="188"/>
      <c r="I175" s="188"/>
      <c r="J175" s="644"/>
      <c r="K175" s="731">
        <f>SUM(K177+K183)</f>
        <v>0</v>
      </c>
      <c r="L175" s="731">
        <f>SUM(L177+L183)</f>
        <v>19498496.4</v>
      </c>
      <c r="M175" s="731">
        <f>SUM(M177+M183)</f>
        <v>19432030</v>
      </c>
      <c r="N175" s="731">
        <f>SUM(N177+N183)</f>
        <v>20462470</v>
      </c>
      <c r="O175" s="731">
        <f>SUM(O177+O183)</f>
        <v>20617965</v>
      </c>
    </row>
    <row r="176" spans="1:16" ht="13.5" thickBot="1">
      <c r="A176" s="807"/>
      <c r="B176" s="809"/>
      <c r="C176" s="279"/>
      <c r="D176" s="645"/>
      <c r="E176" s="645"/>
      <c r="F176" s="188"/>
      <c r="G176" s="188"/>
      <c r="H176" s="188"/>
      <c r="I176" s="188"/>
      <c r="J176" s="645"/>
      <c r="K176" s="732"/>
      <c r="L176" s="732"/>
      <c r="M176" s="732"/>
      <c r="N176" s="732"/>
      <c r="O176" s="732"/>
      <c r="P176" s="237"/>
    </row>
    <row r="177" spans="1:15" ht="45.75" customHeight="1" thickBot="1">
      <c r="A177" s="834" t="s">
        <v>195</v>
      </c>
      <c r="B177" s="845" t="s">
        <v>197</v>
      </c>
      <c r="C177" s="280" t="s">
        <v>478</v>
      </c>
      <c r="D177" s="281" t="s">
        <v>479</v>
      </c>
      <c r="E177" s="541" t="s">
        <v>480</v>
      </c>
      <c r="F177" s="428" t="s">
        <v>714</v>
      </c>
      <c r="G177" s="429">
        <v>525</v>
      </c>
      <c r="H177" s="429">
        <v>550</v>
      </c>
      <c r="I177" s="536">
        <v>575</v>
      </c>
      <c r="J177" s="536">
        <v>600</v>
      </c>
      <c r="K177" s="840">
        <f>SUM(K180:K182)</f>
        <v>0</v>
      </c>
      <c r="L177" s="831">
        <f>SUM(L180:L182)</f>
        <v>18348496.4</v>
      </c>
      <c r="M177" s="831">
        <f>SUM(M180:M182)</f>
        <v>18232030</v>
      </c>
      <c r="N177" s="831">
        <f>SUM(N180:N182)</f>
        <v>18762470</v>
      </c>
      <c r="O177" s="831">
        <f>SUM(O180:O182)</f>
        <v>18917965</v>
      </c>
    </row>
    <row r="178" spans="1:15" ht="39" thickBot="1">
      <c r="A178" s="835"/>
      <c r="B178" s="846"/>
      <c r="C178" s="280" t="s">
        <v>481</v>
      </c>
      <c r="D178" s="281" t="s">
        <v>482</v>
      </c>
      <c r="E178" s="291" t="s">
        <v>418</v>
      </c>
      <c r="F178" s="450" t="s">
        <v>715</v>
      </c>
      <c r="G178" s="451">
        <v>16500000</v>
      </c>
      <c r="H178" s="451">
        <v>17000000</v>
      </c>
      <c r="I178" s="586">
        <v>17500000</v>
      </c>
      <c r="J178" s="574">
        <v>18000000</v>
      </c>
      <c r="K178" s="841"/>
      <c r="L178" s="832"/>
      <c r="M178" s="832"/>
      <c r="N178" s="832"/>
      <c r="O178" s="832"/>
    </row>
    <row r="179" spans="1:16" ht="26.25" thickBot="1">
      <c r="A179" s="836"/>
      <c r="B179" s="847"/>
      <c r="C179" s="280" t="s">
        <v>483</v>
      </c>
      <c r="D179" s="283" t="s">
        <v>484</v>
      </c>
      <c r="E179" s="456" t="s">
        <v>776</v>
      </c>
      <c r="F179" s="445" t="s">
        <v>680</v>
      </c>
      <c r="G179" s="445">
        <v>1</v>
      </c>
      <c r="H179" s="445">
        <v>1</v>
      </c>
      <c r="I179" s="445">
        <v>1</v>
      </c>
      <c r="J179" s="445">
        <v>1</v>
      </c>
      <c r="K179" s="833"/>
      <c r="L179" s="833"/>
      <c r="M179" s="833"/>
      <c r="N179" s="833"/>
      <c r="O179" s="833"/>
      <c r="P179" s="237"/>
    </row>
    <row r="180" spans="1:15" ht="29.25" customHeight="1" thickBot="1">
      <c r="A180" s="284"/>
      <c r="B180" s="457" t="s">
        <v>485</v>
      </c>
      <c r="C180" s="285"/>
      <c r="D180" s="285"/>
      <c r="E180" s="285"/>
      <c r="F180" s="285"/>
      <c r="G180" s="285"/>
      <c r="H180" s="285"/>
      <c r="I180" s="285"/>
      <c r="J180" s="285"/>
      <c r="K180" s="286"/>
      <c r="L180" s="286">
        <v>17647996.4</v>
      </c>
      <c r="M180" s="286">
        <v>17506530</v>
      </c>
      <c r="N180" s="286">
        <v>17956970</v>
      </c>
      <c r="O180" s="286">
        <v>18112465</v>
      </c>
    </row>
    <row r="181" spans="1:15" ht="13.5" thickBot="1">
      <c r="A181" s="284"/>
      <c r="B181" s="284" t="s">
        <v>486</v>
      </c>
      <c r="C181" s="285"/>
      <c r="D181" s="285"/>
      <c r="E181" s="285"/>
      <c r="F181" s="285"/>
      <c r="G181" s="285"/>
      <c r="H181" s="285"/>
      <c r="I181" s="285"/>
      <c r="J181" s="285"/>
      <c r="K181" s="286"/>
      <c r="L181" s="286">
        <v>680500</v>
      </c>
      <c r="M181" s="286">
        <v>705500</v>
      </c>
      <c r="N181" s="286">
        <v>705500</v>
      </c>
      <c r="O181" s="286">
        <v>705500</v>
      </c>
    </row>
    <row r="182" spans="1:15" ht="26.25" thickBot="1">
      <c r="A182" s="284"/>
      <c r="B182" s="284" t="s">
        <v>786</v>
      </c>
      <c r="C182" s="285"/>
      <c r="D182" s="285"/>
      <c r="E182" s="285"/>
      <c r="F182" s="285"/>
      <c r="G182" s="285"/>
      <c r="H182" s="285"/>
      <c r="I182" s="285"/>
      <c r="J182" s="287"/>
      <c r="K182" s="286"/>
      <c r="L182" s="286">
        <v>20000</v>
      </c>
      <c r="M182" s="286">
        <v>20000</v>
      </c>
      <c r="N182" s="286">
        <v>100000</v>
      </c>
      <c r="O182" s="286">
        <v>100000</v>
      </c>
    </row>
    <row r="183" spans="1:15" ht="57" customHeight="1" thickBot="1">
      <c r="A183" s="834" t="s">
        <v>196</v>
      </c>
      <c r="B183" s="845" t="s">
        <v>198</v>
      </c>
      <c r="C183" s="280" t="s">
        <v>488</v>
      </c>
      <c r="D183" s="281" t="s">
        <v>764</v>
      </c>
      <c r="E183" s="541" t="s">
        <v>489</v>
      </c>
      <c r="F183" s="428" t="s">
        <v>698</v>
      </c>
      <c r="G183" s="429">
        <v>3</v>
      </c>
      <c r="H183" s="429">
        <v>6</v>
      </c>
      <c r="I183" s="429">
        <v>8</v>
      </c>
      <c r="J183" s="429">
        <v>10</v>
      </c>
      <c r="K183" s="840">
        <f>SUM(K186:K187)</f>
        <v>0</v>
      </c>
      <c r="L183" s="831">
        <f>SUM(L186:L187)</f>
        <v>1150000</v>
      </c>
      <c r="M183" s="831">
        <f>SUM(M186:M187)</f>
        <v>1200000</v>
      </c>
      <c r="N183" s="831">
        <f>SUM(N186:N187)</f>
        <v>1700000</v>
      </c>
      <c r="O183" s="831">
        <f>SUM(O186:O187)</f>
        <v>1700000</v>
      </c>
    </row>
    <row r="184" spans="1:15" ht="39.75" customHeight="1" thickBot="1">
      <c r="A184" s="835"/>
      <c r="B184" s="846"/>
      <c r="C184" s="280" t="s">
        <v>490</v>
      </c>
      <c r="D184" s="281" t="s">
        <v>491</v>
      </c>
      <c r="E184" s="291" t="s">
        <v>492</v>
      </c>
      <c r="F184" s="458" t="s">
        <v>717</v>
      </c>
      <c r="G184" s="459">
        <v>67212</v>
      </c>
      <c r="H184" s="459">
        <v>69808</v>
      </c>
      <c r="I184" s="587">
        <v>72404</v>
      </c>
      <c r="J184" s="576">
        <v>75000</v>
      </c>
      <c r="K184" s="841"/>
      <c r="L184" s="832"/>
      <c r="M184" s="832"/>
      <c r="N184" s="832"/>
      <c r="O184" s="832"/>
    </row>
    <row r="185" spans="1:16" ht="40.5" customHeight="1" thickBot="1">
      <c r="A185" s="836"/>
      <c r="B185" s="847"/>
      <c r="C185" s="282" t="s">
        <v>493</v>
      </c>
      <c r="D185" s="283" t="s">
        <v>494</v>
      </c>
      <c r="E185" s="456" t="s">
        <v>495</v>
      </c>
      <c r="F185" s="445" t="s">
        <v>716</v>
      </c>
      <c r="G185" s="445">
        <v>945</v>
      </c>
      <c r="H185" s="431">
        <v>1050</v>
      </c>
      <c r="I185" s="431">
        <v>1200</v>
      </c>
      <c r="J185" s="431">
        <v>1400</v>
      </c>
      <c r="K185" s="833"/>
      <c r="L185" s="833"/>
      <c r="M185" s="833"/>
      <c r="N185" s="833"/>
      <c r="O185" s="833"/>
      <c r="P185" s="237"/>
    </row>
    <row r="186" spans="1:15" ht="13.5" thickBot="1">
      <c r="A186" s="284"/>
      <c r="B186" s="284" t="s">
        <v>787</v>
      </c>
      <c r="C186" s="285"/>
      <c r="D186" s="285"/>
      <c r="E186" s="285"/>
      <c r="F186" s="285"/>
      <c r="G186" s="285"/>
      <c r="H186" s="285"/>
      <c r="I186" s="285"/>
      <c r="J186" s="285"/>
      <c r="K186" s="286"/>
      <c r="L186" s="286">
        <v>1000000</v>
      </c>
      <c r="M186" s="286">
        <v>1000000</v>
      </c>
      <c r="N186" s="286">
        <v>1500000</v>
      </c>
      <c r="O186" s="286">
        <v>1500000</v>
      </c>
    </row>
    <row r="187" spans="1:15" ht="13.5" thickBot="1">
      <c r="A187" s="284"/>
      <c r="B187" s="284" t="s">
        <v>788</v>
      </c>
      <c r="C187" s="285"/>
      <c r="D187" s="285"/>
      <c r="E187" s="285"/>
      <c r="F187" s="285"/>
      <c r="G187" s="285"/>
      <c r="H187" s="285"/>
      <c r="I187" s="285"/>
      <c r="J187" s="285"/>
      <c r="K187" s="286"/>
      <c r="L187" s="286">
        <v>150000</v>
      </c>
      <c r="M187" s="286">
        <v>200000</v>
      </c>
      <c r="N187" s="286">
        <v>200000</v>
      </c>
      <c r="O187" s="286">
        <v>200000</v>
      </c>
    </row>
    <row r="188" spans="1:15" ht="13.5" thickBot="1">
      <c r="A188" s="806" t="s">
        <v>199</v>
      </c>
      <c r="B188" s="808" t="s">
        <v>203</v>
      </c>
      <c r="C188" s="278"/>
      <c r="D188" s="646"/>
      <c r="E188" s="646"/>
      <c r="F188" s="188"/>
      <c r="G188" s="188"/>
      <c r="H188" s="188"/>
      <c r="I188" s="188"/>
      <c r="J188" s="644"/>
      <c r="K188" s="731">
        <f>SUM(K190+K197+K206)</f>
        <v>0</v>
      </c>
      <c r="L188" s="731">
        <f>SUM(L190+L197+L206)</f>
        <v>21152831.32</v>
      </c>
      <c r="M188" s="731">
        <f>SUM(M190+M197+M206)</f>
        <v>28121364.459999997</v>
      </c>
      <c r="N188" s="731">
        <f>SUM(N190+N197+N206)</f>
        <v>22478683.91</v>
      </c>
      <c r="O188" s="731">
        <f>SUM(O190+O197+O206)</f>
        <v>9925000</v>
      </c>
    </row>
    <row r="189" spans="1:16" ht="13.5" thickBot="1">
      <c r="A189" s="807"/>
      <c r="B189" s="809"/>
      <c r="C189" s="279"/>
      <c r="D189" s="645"/>
      <c r="E189" s="645"/>
      <c r="F189" s="188"/>
      <c r="G189" s="188"/>
      <c r="H189" s="188"/>
      <c r="I189" s="188"/>
      <c r="J189" s="645"/>
      <c r="K189" s="732"/>
      <c r="L189" s="732"/>
      <c r="M189" s="732"/>
      <c r="N189" s="732"/>
      <c r="O189" s="732"/>
      <c r="P189" s="237"/>
    </row>
    <row r="190" spans="1:15" ht="49.5" customHeight="1" thickBot="1">
      <c r="A190" s="834" t="s">
        <v>200</v>
      </c>
      <c r="B190" s="845" t="s">
        <v>204</v>
      </c>
      <c r="C190" s="280"/>
      <c r="D190" s="281"/>
      <c r="E190" s="541"/>
      <c r="F190" s="428"/>
      <c r="G190" s="429"/>
      <c r="H190" s="429"/>
      <c r="I190" s="536"/>
      <c r="J190" s="456"/>
      <c r="K190" s="840">
        <f>SUM(K194:K196)</f>
        <v>0</v>
      </c>
      <c r="L190" s="831">
        <f>SUM(L194:L196)</f>
        <v>1721000</v>
      </c>
      <c r="M190" s="831">
        <f>SUM(M194:M196)</f>
        <v>1770000</v>
      </c>
      <c r="N190" s="831">
        <f>SUM(N194:N196)</f>
        <v>1835000</v>
      </c>
      <c r="O190" s="831">
        <f>SUM(O194:O196)</f>
        <v>1900000</v>
      </c>
    </row>
    <row r="191" spans="1:15" ht="42.75" customHeight="1" thickBot="1">
      <c r="A191" s="835"/>
      <c r="B191" s="846"/>
      <c r="C191" s="282" t="s">
        <v>499</v>
      </c>
      <c r="D191" s="283" t="s">
        <v>500</v>
      </c>
      <c r="E191" s="291" t="s">
        <v>501</v>
      </c>
      <c r="F191" s="458" t="s">
        <v>718</v>
      </c>
      <c r="G191" s="459">
        <v>22000</v>
      </c>
      <c r="H191" s="459">
        <v>23000</v>
      </c>
      <c r="I191" s="587">
        <v>24000</v>
      </c>
      <c r="J191" s="576">
        <v>25000</v>
      </c>
      <c r="K191" s="841"/>
      <c r="L191" s="832"/>
      <c r="M191" s="832"/>
      <c r="N191" s="832"/>
      <c r="O191" s="832"/>
    </row>
    <row r="192" spans="1:16" ht="33" customHeight="1" thickBot="1">
      <c r="A192" s="835"/>
      <c r="B192" s="846"/>
      <c r="C192" s="297" t="s">
        <v>502</v>
      </c>
      <c r="D192" s="297" t="s">
        <v>503</v>
      </c>
      <c r="E192" s="456" t="s">
        <v>504</v>
      </c>
      <c r="F192" s="431" t="s">
        <v>719</v>
      </c>
      <c r="G192" s="431">
        <v>7839</v>
      </c>
      <c r="H192" s="431">
        <v>7993</v>
      </c>
      <c r="I192" s="575">
        <v>8147</v>
      </c>
      <c r="J192" s="576">
        <v>8300</v>
      </c>
      <c r="K192" s="841"/>
      <c r="L192" s="832"/>
      <c r="M192" s="832"/>
      <c r="N192" s="832"/>
      <c r="O192" s="832"/>
      <c r="P192" s="237"/>
    </row>
    <row r="193" spans="1:15" ht="33.75" customHeight="1" thickBot="1">
      <c r="A193" s="836"/>
      <c r="B193" s="847"/>
      <c r="C193" s="297" t="s">
        <v>505</v>
      </c>
      <c r="D193" s="297" t="s">
        <v>506</v>
      </c>
      <c r="E193" s="456" t="s">
        <v>501</v>
      </c>
      <c r="F193" s="445" t="s">
        <v>720</v>
      </c>
      <c r="G193" s="445">
        <v>698</v>
      </c>
      <c r="H193" s="445">
        <v>732</v>
      </c>
      <c r="I193" s="445">
        <v>766</v>
      </c>
      <c r="J193" s="445">
        <v>800</v>
      </c>
      <c r="K193" s="833"/>
      <c r="L193" s="833"/>
      <c r="M193" s="833"/>
      <c r="N193" s="833"/>
      <c r="O193" s="833"/>
    </row>
    <row r="194" spans="1:15" ht="26.25" thickBot="1">
      <c r="A194" s="284"/>
      <c r="B194" s="284" t="s">
        <v>507</v>
      </c>
      <c r="C194" s="285"/>
      <c r="D194" s="285"/>
      <c r="E194" s="285"/>
      <c r="F194" s="285"/>
      <c r="G194" s="285"/>
      <c r="H194" s="285"/>
      <c r="I194" s="285"/>
      <c r="J194" s="285"/>
      <c r="K194" s="286">
        <v>0</v>
      </c>
      <c r="L194" s="286">
        <v>900000</v>
      </c>
      <c r="M194" s="286">
        <v>950000</v>
      </c>
      <c r="N194" s="286">
        <v>1000000</v>
      </c>
      <c r="O194" s="286">
        <v>1050000</v>
      </c>
    </row>
    <row r="195" spans="1:15" ht="26.25" thickBot="1">
      <c r="A195" s="284"/>
      <c r="B195" s="284" t="s">
        <v>508</v>
      </c>
      <c r="C195" s="285"/>
      <c r="D195" s="285"/>
      <c r="E195" s="285"/>
      <c r="F195" s="285"/>
      <c r="G195" s="285"/>
      <c r="H195" s="285"/>
      <c r="I195" s="285"/>
      <c r="J195" s="285"/>
      <c r="K195" s="286">
        <v>0</v>
      </c>
      <c r="L195" s="286">
        <v>30000</v>
      </c>
      <c r="M195" s="286">
        <v>40000</v>
      </c>
      <c r="N195" s="286">
        <v>50000</v>
      </c>
      <c r="O195" s="286">
        <v>60000</v>
      </c>
    </row>
    <row r="196" spans="1:15" ht="29.25" customHeight="1" thickBot="1">
      <c r="A196" s="284"/>
      <c r="B196" s="284" t="s">
        <v>509</v>
      </c>
      <c r="C196" s="285"/>
      <c r="D196" s="285"/>
      <c r="E196" s="285"/>
      <c r="F196" s="285"/>
      <c r="G196" s="285"/>
      <c r="H196" s="285"/>
      <c r="I196" s="285"/>
      <c r="J196" s="287"/>
      <c r="K196" s="286">
        <v>0</v>
      </c>
      <c r="L196" s="286">
        <v>791000</v>
      </c>
      <c r="M196" s="286">
        <v>780000</v>
      </c>
      <c r="N196" s="286">
        <v>785000</v>
      </c>
      <c r="O196" s="286">
        <v>790000</v>
      </c>
    </row>
    <row r="197" spans="1:15" ht="30.75" customHeight="1" thickBot="1">
      <c r="A197" s="813" t="s">
        <v>201</v>
      </c>
      <c r="B197" s="816" t="s">
        <v>205</v>
      </c>
      <c r="C197" s="280" t="s">
        <v>498</v>
      </c>
      <c r="D197" s="281" t="s">
        <v>806</v>
      </c>
      <c r="E197" s="541" t="s">
        <v>777</v>
      </c>
      <c r="F197" s="428" t="s">
        <v>680</v>
      </c>
      <c r="G197" s="429">
        <v>0</v>
      </c>
      <c r="H197" s="429">
        <v>1</v>
      </c>
      <c r="I197" s="536">
        <v>1</v>
      </c>
      <c r="J197" s="456">
        <v>1</v>
      </c>
      <c r="K197" s="840">
        <f>SUM(K200:K205)</f>
        <v>0</v>
      </c>
      <c r="L197" s="831">
        <f>SUM(L200:L205)</f>
        <v>19281831.32</v>
      </c>
      <c r="M197" s="831">
        <f>SUM(M200:M205)</f>
        <v>26151364.459999997</v>
      </c>
      <c r="N197" s="831">
        <f>SUM(N200:N205)</f>
        <v>20393683.91</v>
      </c>
      <c r="O197" s="831">
        <f>SUM(O200:O205)</f>
        <v>7725000</v>
      </c>
    </row>
    <row r="198" spans="1:15" ht="30.75" customHeight="1" thickBot="1">
      <c r="A198" s="814"/>
      <c r="B198" s="817"/>
      <c r="C198" s="280" t="s">
        <v>510</v>
      </c>
      <c r="D198" s="281" t="s">
        <v>511</v>
      </c>
      <c r="E198" s="541" t="s">
        <v>418</v>
      </c>
      <c r="F198" s="450" t="s">
        <v>721</v>
      </c>
      <c r="G198" s="451">
        <v>17531831.32</v>
      </c>
      <c r="H198" s="451">
        <v>24033430.38</v>
      </c>
      <c r="I198" s="586">
        <v>18143683.91</v>
      </c>
      <c r="J198" s="574">
        <v>5225000</v>
      </c>
      <c r="K198" s="841"/>
      <c r="L198" s="832"/>
      <c r="M198" s="832"/>
      <c r="N198" s="832"/>
      <c r="O198" s="832"/>
    </row>
    <row r="199" spans="1:16" ht="48" customHeight="1" thickBot="1">
      <c r="A199" s="815"/>
      <c r="B199" s="818"/>
      <c r="C199" s="282" t="s">
        <v>512</v>
      </c>
      <c r="D199" s="283" t="s">
        <v>513</v>
      </c>
      <c r="E199" s="291" t="s">
        <v>418</v>
      </c>
      <c r="F199" s="450" t="s">
        <v>706</v>
      </c>
      <c r="G199" s="451">
        <v>1750000</v>
      </c>
      <c r="H199" s="451">
        <v>2000000</v>
      </c>
      <c r="I199" s="586">
        <v>2250000</v>
      </c>
      <c r="J199" s="623">
        <v>2500000</v>
      </c>
      <c r="K199" s="833"/>
      <c r="L199" s="833"/>
      <c r="M199" s="833"/>
      <c r="N199" s="833"/>
      <c r="O199" s="833"/>
      <c r="P199" s="237"/>
    </row>
    <row r="200" spans="1:15" ht="13.5" thickBot="1">
      <c r="A200" s="284"/>
      <c r="B200" s="284" t="s">
        <v>514</v>
      </c>
      <c r="C200" s="285"/>
      <c r="D200" s="285"/>
      <c r="E200" s="285"/>
      <c r="F200" s="285"/>
      <c r="G200" s="285"/>
      <c r="H200" s="285"/>
      <c r="I200" s="285"/>
      <c r="J200" s="285"/>
      <c r="K200" s="286"/>
      <c r="L200" s="286">
        <v>1750000</v>
      </c>
      <c r="M200" s="286">
        <v>2000000</v>
      </c>
      <c r="N200" s="286">
        <v>2250000</v>
      </c>
      <c r="O200" s="286">
        <v>2500000</v>
      </c>
    </row>
    <row r="201" spans="1:15" ht="13.5" thickBot="1">
      <c r="A201" s="284"/>
      <c r="B201" s="284" t="s">
        <v>515</v>
      </c>
      <c r="C201" s="285"/>
      <c r="D201" s="285"/>
      <c r="E201" s="285"/>
      <c r="F201" s="285"/>
      <c r="G201" s="285"/>
      <c r="H201" s="285"/>
      <c r="I201" s="285"/>
      <c r="J201" s="285"/>
      <c r="K201" s="286"/>
      <c r="L201" s="286">
        <v>724000</v>
      </c>
      <c r="M201" s="286">
        <v>715000</v>
      </c>
      <c r="N201" s="286">
        <v>720000</v>
      </c>
      <c r="O201" s="286">
        <v>725000</v>
      </c>
    </row>
    <row r="202" spans="1:15" ht="45" customHeight="1" thickBot="1">
      <c r="A202" s="284"/>
      <c r="B202" s="460" t="s">
        <v>516</v>
      </c>
      <c r="C202" s="285"/>
      <c r="D202" s="285"/>
      <c r="E202" s="285"/>
      <c r="F202" s="285"/>
      <c r="G202" s="285"/>
      <c r="H202" s="285"/>
      <c r="I202" s="285"/>
      <c r="J202" s="285"/>
      <c r="K202" s="286"/>
      <c r="L202" s="286">
        <v>4350000</v>
      </c>
      <c r="M202" s="286">
        <v>4355000</v>
      </c>
      <c r="N202" s="286">
        <v>4400000</v>
      </c>
      <c r="O202" s="286">
        <v>4500000</v>
      </c>
    </row>
    <row r="203" spans="1:15" ht="26.25" thickBot="1">
      <c r="A203" s="284"/>
      <c r="B203" s="284" t="s">
        <v>517</v>
      </c>
      <c r="C203" s="285"/>
      <c r="D203" s="285"/>
      <c r="E203" s="285"/>
      <c r="F203" s="285"/>
      <c r="G203" s="285"/>
      <c r="H203" s="285"/>
      <c r="I203" s="285"/>
      <c r="J203" s="285"/>
      <c r="K203" s="286"/>
      <c r="L203" s="286"/>
      <c r="M203" s="286">
        <v>113000</v>
      </c>
      <c r="N203" s="286"/>
      <c r="O203" s="286"/>
    </row>
    <row r="204" spans="1:15" ht="13.5" thickBot="1">
      <c r="A204" s="284"/>
      <c r="B204" s="292" t="s">
        <v>518</v>
      </c>
      <c r="C204" s="285"/>
      <c r="D204" s="285"/>
      <c r="E204" s="285"/>
      <c r="F204" s="285"/>
      <c r="G204" s="285"/>
      <c r="H204" s="285"/>
      <c r="I204" s="285"/>
      <c r="J204" s="285"/>
      <c r="K204" s="286"/>
      <c r="L204" s="286">
        <v>12457831.32</v>
      </c>
      <c r="M204" s="286">
        <v>18850430.38</v>
      </c>
      <c r="N204" s="286">
        <v>13023683.91</v>
      </c>
      <c r="O204" s="286"/>
    </row>
    <row r="205" spans="1:15" ht="13.5" thickBot="1">
      <c r="A205" s="392"/>
      <c r="B205" s="292" t="s">
        <v>519</v>
      </c>
      <c r="C205" s="461"/>
      <c r="D205" s="287"/>
      <c r="E205" s="462"/>
      <c r="F205" s="463"/>
      <c r="G205" s="285"/>
      <c r="H205" s="285"/>
      <c r="I205" s="285"/>
      <c r="J205" s="287"/>
      <c r="K205" s="393"/>
      <c r="L205" s="393"/>
      <c r="M205" s="393">
        <v>117934.08</v>
      </c>
      <c r="N205" s="393"/>
      <c r="O205" s="393"/>
    </row>
    <row r="206" spans="1:15" ht="25.5">
      <c r="A206" s="651" t="s">
        <v>202</v>
      </c>
      <c r="B206" s="652" t="s">
        <v>206</v>
      </c>
      <c r="C206" s="546" t="s">
        <v>520</v>
      </c>
      <c r="D206" s="540" t="s">
        <v>521</v>
      </c>
      <c r="E206" s="547" t="s">
        <v>522</v>
      </c>
      <c r="F206" s="542" t="s">
        <v>722</v>
      </c>
      <c r="G206" s="543">
        <v>4</v>
      </c>
      <c r="H206" s="543">
        <v>6</v>
      </c>
      <c r="I206" s="543">
        <v>7</v>
      </c>
      <c r="J206" s="543">
        <v>8</v>
      </c>
      <c r="K206" s="650">
        <f>SUM(K207)</f>
        <v>0</v>
      </c>
      <c r="L206" s="650">
        <f>SUM(L207)</f>
        <v>150000</v>
      </c>
      <c r="M206" s="650">
        <f>SUM(M207)</f>
        <v>200000</v>
      </c>
      <c r="N206" s="650">
        <f>SUM(N207)</f>
        <v>250000</v>
      </c>
      <c r="O206" s="650">
        <f>SUM(O207)</f>
        <v>300000</v>
      </c>
    </row>
    <row r="207" spans="1:15" ht="26.25" thickBot="1">
      <c r="A207" s="284"/>
      <c r="B207" s="284" t="s">
        <v>523</v>
      </c>
      <c r="C207" s="285"/>
      <c r="D207" s="285"/>
      <c r="E207" s="285"/>
      <c r="F207" s="285"/>
      <c r="G207" s="285"/>
      <c r="H207" s="285"/>
      <c r="I207" s="285"/>
      <c r="J207" s="285"/>
      <c r="K207" s="286"/>
      <c r="L207" s="286">
        <v>150000</v>
      </c>
      <c r="M207" s="286">
        <v>200000</v>
      </c>
      <c r="N207" s="286">
        <v>250000</v>
      </c>
      <c r="O207" s="286">
        <v>300000</v>
      </c>
    </row>
    <row r="208" spans="1:15" ht="13.5" thickBot="1">
      <c r="A208" s="826" t="s">
        <v>207</v>
      </c>
      <c r="B208" s="828" t="s">
        <v>208</v>
      </c>
      <c r="C208" s="277"/>
      <c r="D208" s="184"/>
      <c r="E208" s="184"/>
      <c r="F208" s="184"/>
      <c r="G208" s="184"/>
      <c r="H208" s="184"/>
      <c r="I208" s="184"/>
      <c r="J208" s="648"/>
      <c r="K208" s="829">
        <f>SUM(K210+K232+K246+K259)</f>
        <v>100133860</v>
      </c>
      <c r="L208" s="829">
        <f>SUM(L210+L232+L246+L259)</f>
        <v>329860246.91</v>
      </c>
      <c r="M208" s="829">
        <f>SUM(M210+M232+M246+M259)</f>
        <v>206648294.51</v>
      </c>
      <c r="N208" s="829">
        <f>SUM(N210+N232+N246+N259)</f>
        <v>76753021.4</v>
      </c>
      <c r="O208" s="829">
        <f>SUM(O210+O232+O246+O259)</f>
        <v>63918388.89</v>
      </c>
    </row>
    <row r="209" spans="1:16" ht="13.5" thickBot="1">
      <c r="A209" s="827"/>
      <c r="B209" s="827"/>
      <c r="C209" s="277"/>
      <c r="D209" s="647"/>
      <c r="E209" s="647"/>
      <c r="F209" s="184"/>
      <c r="G209" s="184"/>
      <c r="H209" s="184"/>
      <c r="I209" s="184"/>
      <c r="J209" s="647"/>
      <c r="K209" s="830"/>
      <c r="L209" s="830"/>
      <c r="M209" s="830"/>
      <c r="N209" s="830"/>
      <c r="O209" s="830"/>
      <c r="P209" s="237"/>
    </row>
    <row r="210" spans="1:24" ht="13.5" thickBot="1">
      <c r="A210" s="806" t="s">
        <v>209</v>
      </c>
      <c r="B210" s="808" t="s">
        <v>214</v>
      </c>
      <c r="C210" s="278"/>
      <c r="D210" s="646"/>
      <c r="E210" s="646"/>
      <c r="F210" s="188"/>
      <c r="G210" s="188"/>
      <c r="H210" s="188"/>
      <c r="I210" s="188"/>
      <c r="J210" s="644"/>
      <c r="K210" s="731">
        <f>SUM(K212+K216+K218+K227)</f>
        <v>25707500</v>
      </c>
      <c r="L210" s="731">
        <f>SUM(L212+L216+L218+L227)</f>
        <v>255309398.96</v>
      </c>
      <c r="M210" s="731">
        <f>SUM(M212+M216+M218+M227)</f>
        <v>130055150</v>
      </c>
      <c r="N210" s="731">
        <f>SUM(N212+N216+N218+N227)</f>
        <v>7825900</v>
      </c>
      <c r="O210" s="731">
        <f>SUM(O212+O216+O218+O227)</f>
        <v>7854000</v>
      </c>
      <c r="U210" s="635"/>
      <c r="V210" s="237"/>
      <c r="X210" s="237"/>
    </row>
    <row r="211" spans="1:16" ht="12.75">
      <c r="A211" s="823"/>
      <c r="B211" s="824"/>
      <c r="C211" s="279"/>
      <c r="D211" s="645"/>
      <c r="E211" s="645"/>
      <c r="F211" s="644"/>
      <c r="G211" s="644"/>
      <c r="H211" s="644"/>
      <c r="I211" s="644"/>
      <c r="J211" s="645"/>
      <c r="K211" s="825"/>
      <c r="L211" s="825"/>
      <c r="M211" s="825"/>
      <c r="N211" s="825"/>
      <c r="O211" s="825"/>
      <c r="P211" s="237"/>
    </row>
    <row r="212" spans="1:15" ht="62.25" customHeight="1">
      <c r="A212" s="811" t="s">
        <v>210</v>
      </c>
      <c r="B212" s="812" t="s">
        <v>215</v>
      </c>
      <c r="C212" s="662" t="s">
        <v>525</v>
      </c>
      <c r="D212" s="662" t="s">
        <v>526</v>
      </c>
      <c r="E212" s="675" t="s">
        <v>418</v>
      </c>
      <c r="F212" s="676">
        <v>1926293</v>
      </c>
      <c r="G212" s="626">
        <v>1961818.86</v>
      </c>
      <c r="H212" s="626">
        <v>2022607.65</v>
      </c>
      <c r="I212" s="676">
        <v>2099659.37</v>
      </c>
      <c r="J212" s="676">
        <v>2118922.3</v>
      </c>
      <c r="K212" s="822">
        <f>SUM(K214:K215)</f>
        <v>180000</v>
      </c>
      <c r="L212" s="822">
        <f>SUM(L214:L215)</f>
        <v>365000</v>
      </c>
      <c r="M212" s="822">
        <f>SUM(M214:M215)</f>
        <v>335000</v>
      </c>
      <c r="N212" s="822">
        <f>SUM(N214:N215)</f>
        <v>215000</v>
      </c>
      <c r="O212" s="822">
        <f>SUM(O214:O215)</f>
        <v>265000</v>
      </c>
    </row>
    <row r="213" spans="1:16" ht="38.25">
      <c r="A213" s="812"/>
      <c r="B213" s="812"/>
      <c r="C213" s="662" t="s">
        <v>723</v>
      </c>
      <c r="D213" s="662" t="s">
        <v>527</v>
      </c>
      <c r="E213" s="637" t="s">
        <v>777</v>
      </c>
      <c r="F213" s="637" t="s">
        <v>680</v>
      </c>
      <c r="G213" s="637">
        <v>0</v>
      </c>
      <c r="H213" s="637">
        <v>0</v>
      </c>
      <c r="I213" s="637">
        <v>0</v>
      </c>
      <c r="J213" s="637">
        <v>1</v>
      </c>
      <c r="K213" s="822"/>
      <c r="L213" s="822"/>
      <c r="M213" s="822"/>
      <c r="N213" s="822"/>
      <c r="O213" s="822"/>
      <c r="P213" s="237"/>
    </row>
    <row r="214" spans="1:15" ht="12.75">
      <c r="A214" s="464"/>
      <c r="B214" s="464" t="s">
        <v>528</v>
      </c>
      <c r="C214" s="464"/>
      <c r="D214" s="464"/>
      <c r="E214" s="589"/>
      <c r="F214" s="464"/>
      <c r="G214" s="464"/>
      <c r="H214" s="464"/>
      <c r="I214" s="464"/>
      <c r="J214" s="464"/>
      <c r="K214" s="465">
        <v>180000</v>
      </c>
      <c r="L214" s="465">
        <v>205000</v>
      </c>
      <c r="M214" s="465">
        <v>215000</v>
      </c>
      <c r="N214" s="465">
        <v>215000</v>
      </c>
      <c r="O214" s="465">
        <v>265000</v>
      </c>
    </row>
    <row r="215" spans="1:15" ht="39" customHeight="1">
      <c r="A215" s="464"/>
      <c r="B215" s="464" t="s">
        <v>529</v>
      </c>
      <c r="C215" s="464"/>
      <c r="D215" s="464"/>
      <c r="E215" s="589"/>
      <c r="F215" s="464"/>
      <c r="G215" s="464"/>
      <c r="H215" s="464"/>
      <c r="I215" s="464"/>
      <c r="J215" s="464"/>
      <c r="K215" s="465">
        <v>0</v>
      </c>
      <c r="L215" s="465">
        <v>160000</v>
      </c>
      <c r="M215" s="465">
        <v>120000</v>
      </c>
      <c r="N215" s="465">
        <v>0</v>
      </c>
      <c r="O215" s="465">
        <v>0</v>
      </c>
    </row>
    <row r="216" spans="1:16" ht="51">
      <c r="A216" s="659" t="s">
        <v>211</v>
      </c>
      <c r="B216" s="658" t="s">
        <v>216</v>
      </c>
      <c r="C216" s="666" t="s">
        <v>530</v>
      </c>
      <c r="D216" s="677" t="s">
        <v>531</v>
      </c>
      <c r="E216" s="666" t="s">
        <v>276</v>
      </c>
      <c r="F216" s="666" t="s">
        <v>669</v>
      </c>
      <c r="G216" s="666">
        <v>15</v>
      </c>
      <c r="H216" s="666">
        <v>20</v>
      </c>
      <c r="I216" s="666">
        <v>25</v>
      </c>
      <c r="J216" s="666">
        <v>30</v>
      </c>
      <c r="K216" s="649">
        <f>SUM(K217)</f>
        <v>275000</v>
      </c>
      <c r="L216" s="649">
        <f>SUM(L217)</f>
        <v>290000</v>
      </c>
      <c r="M216" s="649">
        <f>SUM(M217)</f>
        <v>300000</v>
      </c>
      <c r="N216" s="649">
        <f>SUM(N217)</f>
        <v>310000</v>
      </c>
      <c r="O216" s="649">
        <f>SUM(O217)</f>
        <v>320000</v>
      </c>
      <c r="P216" s="237"/>
    </row>
    <row r="217" spans="1:15" ht="44.25" customHeight="1">
      <c r="A217" s="466"/>
      <c r="B217" s="159" t="s">
        <v>532</v>
      </c>
      <c r="C217" s="467"/>
      <c r="D217" s="467"/>
      <c r="E217" s="467"/>
      <c r="F217" s="467"/>
      <c r="G217" s="467"/>
      <c r="H217" s="467"/>
      <c r="I217" s="467"/>
      <c r="J217" s="467"/>
      <c r="K217" s="468">
        <v>275000</v>
      </c>
      <c r="L217" s="468">
        <v>290000</v>
      </c>
      <c r="M217" s="468">
        <v>300000</v>
      </c>
      <c r="N217" s="468">
        <v>310000</v>
      </c>
      <c r="O217" s="468">
        <v>320000</v>
      </c>
    </row>
    <row r="218" spans="1:15" ht="72.75" customHeight="1">
      <c r="A218" s="819" t="s">
        <v>212</v>
      </c>
      <c r="B218" s="820" t="s">
        <v>220</v>
      </c>
      <c r="C218" s="658" t="s">
        <v>533</v>
      </c>
      <c r="D218" s="658" t="s">
        <v>534</v>
      </c>
      <c r="E218" s="588" t="s">
        <v>535</v>
      </c>
      <c r="F218" s="588" t="s">
        <v>724</v>
      </c>
      <c r="G218" s="588">
        <v>82</v>
      </c>
      <c r="H218" s="588">
        <v>83</v>
      </c>
      <c r="I218" s="588">
        <v>84</v>
      </c>
      <c r="J218" s="588">
        <v>85</v>
      </c>
      <c r="K218" s="821">
        <f>SUM(K220:K226)</f>
        <v>14920000</v>
      </c>
      <c r="L218" s="821">
        <f>SUM(L220:L226)</f>
        <v>239777398.96</v>
      </c>
      <c r="M218" s="821">
        <f>SUM(M220:M226)</f>
        <v>120409150</v>
      </c>
      <c r="N218" s="821">
        <f>SUM(N220:N226)</f>
        <v>0</v>
      </c>
      <c r="O218" s="821">
        <f>SUM(O220:O226)</f>
        <v>0</v>
      </c>
    </row>
    <row r="219" spans="1:16" ht="77.25" customHeight="1">
      <c r="A219" s="820"/>
      <c r="B219" s="820"/>
      <c r="C219" s="658" t="s">
        <v>536</v>
      </c>
      <c r="D219" s="658" t="s">
        <v>537</v>
      </c>
      <c r="E219" s="588" t="s">
        <v>535</v>
      </c>
      <c r="F219" s="588" t="s">
        <v>725</v>
      </c>
      <c r="G219" s="588">
        <v>52</v>
      </c>
      <c r="H219" s="588">
        <v>53</v>
      </c>
      <c r="I219" s="588">
        <v>54</v>
      </c>
      <c r="J219" s="588">
        <v>55</v>
      </c>
      <c r="K219" s="821"/>
      <c r="L219" s="821"/>
      <c r="M219" s="821"/>
      <c r="N219" s="821"/>
      <c r="O219" s="821"/>
      <c r="P219" s="237"/>
    </row>
    <row r="220" spans="1:15" ht="29.25" customHeight="1">
      <c r="A220" s="236"/>
      <c r="B220" s="236" t="s">
        <v>538</v>
      </c>
      <c r="C220" s="236"/>
      <c r="D220" s="236"/>
      <c r="E220" s="236"/>
      <c r="F220" s="236"/>
      <c r="G220" s="236"/>
      <c r="H220" s="236"/>
      <c r="I220" s="236"/>
      <c r="J220" s="236"/>
      <c r="K220" s="469">
        <v>8764000</v>
      </c>
      <c r="L220" s="469">
        <v>107477900</v>
      </c>
      <c r="M220" s="469">
        <v>61579400</v>
      </c>
      <c r="N220" s="469">
        <v>0</v>
      </c>
      <c r="O220" s="469">
        <v>0</v>
      </c>
    </row>
    <row r="221" spans="1:15" ht="31.5" customHeight="1">
      <c r="A221" s="236"/>
      <c r="B221" s="236" t="s">
        <v>539</v>
      </c>
      <c r="C221" s="236"/>
      <c r="D221" s="236"/>
      <c r="E221" s="236"/>
      <c r="F221" s="236"/>
      <c r="G221" s="236"/>
      <c r="H221" s="236"/>
      <c r="I221" s="236"/>
      <c r="J221" s="236"/>
      <c r="K221" s="469">
        <v>6156000</v>
      </c>
      <c r="L221" s="469">
        <v>121043250</v>
      </c>
      <c r="M221" s="469">
        <v>58829750</v>
      </c>
      <c r="N221" s="469">
        <v>0</v>
      </c>
      <c r="O221" s="469">
        <v>0</v>
      </c>
    </row>
    <row r="222" spans="1:15" ht="29.25" customHeight="1">
      <c r="A222" s="236"/>
      <c r="B222" s="236" t="s">
        <v>540</v>
      </c>
      <c r="C222" s="236"/>
      <c r="D222" s="236"/>
      <c r="E222" s="236"/>
      <c r="F222" s="236"/>
      <c r="G222" s="236"/>
      <c r="H222" s="236"/>
      <c r="I222" s="236"/>
      <c r="J222" s="236"/>
      <c r="K222" s="469">
        <v>0</v>
      </c>
      <c r="L222" s="469">
        <v>6167248.96</v>
      </c>
      <c r="M222" s="469">
        <v>0</v>
      </c>
      <c r="N222" s="469">
        <v>0</v>
      </c>
      <c r="O222" s="469">
        <v>0</v>
      </c>
    </row>
    <row r="223" spans="1:15" ht="43.5" customHeight="1">
      <c r="A223" s="236"/>
      <c r="B223" s="236" t="s">
        <v>541</v>
      </c>
      <c r="C223" s="236"/>
      <c r="D223" s="236"/>
      <c r="E223" s="236"/>
      <c r="F223" s="236"/>
      <c r="G223" s="236"/>
      <c r="H223" s="236"/>
      <c r="I223" s="236"/>
      <c r="J223" s="236"/>
      <c r="K223" s="469">
        <v>0</v>
      </c>
      <c r="L223" s="469">
        <v>2380000</v>
      </c>
      <c r="M223" s="469">
        <v>0</v>
      </c>
      <c r="N223" s="469">
        <v>0</v>
      </c>
      <c r="O223" s="469">
        <v>0</v>
      </c>
    </row>
    <row r="224" spans="1:15" ht="31.5" customHeight="1">
      <c r="A224" s="236"/>
      <c r="B224" s="236" t="s">
        <v>542</v>
      </c>
      <c r="C224" s="236"/>
      <c r="D224" s="236"/>
      <c r="E224" s="236"/>
      <c r="F224" s="236"/>
      <c r="G224" s="236"/>
      <c r="H224" s="236"/>
      <c r="I224" s="236"/>
      <c r="J224" s="236"/>
      <c r="K224" s="469">
        <v>0</v>
      </c>
      <c r="L224" s="469">
        <v>342000</v>
      </c>
      <c r="M224" s="469">
        <v>0</v>
      </c>
      <c r="N224" s="469">
        <v>0</v>
      </c>
      <c r="O224" s="469">
        <v>0</v>
      </c>
    </row>
    <row r="225" spans="1:15" ht="45.75" customHeight="1">
      <c r="A225" s="236"/>
      <c r="B225" s="236" t="s">
        <v>543</v>
      </c>
      <c r="C225" s="236"/>
      <c r="D225" s="236"/>
      <c r="E225" s="236"/>
      <c r="F225" s="236"/>
      <c r="G225" s="236"/>
      <c r="H225" s="236"/>
      <c r="I225" s="236"/>
      <c r="J225" s="236"/>
      <c r="K225" s="469">
        <v>0</v>
      </c>
      <c r="L225" s="469">
        <v>2135000</v>
      </c>
      <c r="M225" s="469">
        <v>0</v>
      </c>
      <c r="N225" s="469">
        <v>0</v>
      </c>
      <c r="O225" s="469">
        <v>0</v>
      </c>
    </row>
    <row r="226" spans="1:15" ht="39.75" customHeight="1">
      <c r="A226" s="236"/>
      <c r="B226" s="236" t="s">
        <v>544</v>
      </c>
      <c r="C226" s="236"/>
      <c r="D226" s="236"/>
      <c r="E226" s="236"/>
      <c r="F226" s="236"/>
      <c r="G226" s="236"/>
      <c r="H226" s="236"/>
      <c r="I226" s="236"/>
      <c r="J226" s="236"/>
      <c r="K226" s="469">
        <v>0</v>
      </c>
      <c r="L226" s="469">
        <v>232000</v>
      </c>
      <c r="M226" s="469">
        <v>0</v>
      </c>
      <c r="N226" s="469">
        <v>0</v>
      </c>
      <c r="O226" s="469">
        <v>0</v>
      </c>
    </row>
    <row r="227" spans="1:15" ht="25.5" customHeight="1">
      <c r="A227" s="659" t="s">
        <v>213</v>
      </c>
      <c r="B227" s="658" t="s">
        <v>221</v>
      </c>
      <c r="C227" s="677" t="s">
        <v>545</v>
      </c>
      <c r="D227" s="677" t="s">
        <v>546</v>
      </c>
      <c r="E227" s="666" t="s">
        <v>547</v>
      </c>
      <c r="F227" s="627" t="s">
        <v>726</v>
      </c>
      <c r="G227" s="627">
        <v>205</v>
      </c>
      <c r="H227" s="627">
        <v>200</v>
      </c>
      <c r="I227" s="627">
        <v>195</v>
      </c>
      <c r="J227" s="627">
        <v>190</v>
      </c>
      <c r="K227" s="649">
        <f>SUM(K228:K231)</f>
        <v>10332500</v>
      </c>
      <c r="L227" s="649">
        <f>SUM(L228:L231)</f>
        <v>14877000</v>
      </c>
      <c r="M227" s="649">
        <f>SUM(M228:M231)</f>
        <v>9011000</v>
      </c>
      <c r="N227" s="649">
        <f>SUM(N228:N231)</f>
        <v>7300900</v>
      </c>
      <c r="O227" s="649">
        <f>SUM(O228:O231)</f>
        <v>7269000</v>
      </c>
    </row>
    <row r="228" spans="1:15" ht="12.75">
      <c r="A228" s="236"/>
      <c r="B228" s="236" t="s">
        <v>548</v>
      </c>
      <c r="C228" s="236"/>
      <c r="D228" s="236"/>
      <c r="E228" s="236"/>
      <c r="F228" s="236"/>
      <c r="G228" s="236"/>
      <c r="H228" s="236"/>
      <c r="I228" s="236"/>
      <c r="J228" s="236"/>
      <c r="K228" s="469">
        <v>5932500</v>
      </c>
      <c r="L228" s="469">
        <v>7477000</v>
      </c>
      <c r="M228" s="469">
        <v>377000</v>
      </c>
      <c r="N228" s="469">
        <v>1200000</v>
      </c>
      <c r="O228" s="469">
        <v>0</v>
      </c>
    </row>
    <row r="229" spans="1:15" ht="12.75">
      <c r="A229" s="236"/>
      <c r="B229" s="678" t="s">
        <v>549</v>
      </c>
      <c r="C229" s="236"/>
      <c r="D229" s="236"/>
      <c r="E229" s="236"/>
      <c r="F229" s="236"/>
      <c r="G229" s="236"/>
      <c r="H229" s="236"/>
      <c r="I229" s="236"/>
      <c r="J229" s="236"/>
      <c r="K229" s="469">
        <v>4000000</v>
      </c>
      <c r="L229" s="469">
        <v>7000000</v>
      </c>
      <c r="M229" s="469">
        <v>8000000</v>
      </c>
      <c r="N229" s="469">
        <v>5000000</v>
      </c>
      <c r="O229" s="469">
        <v>5000000</v>
      </c>
    </row>
    <row r="230" spans="1:15" ht="33.75" customHeight="1">
      <c r="A230" s="159"/>
      <c r="B230" s="159" t="s">
        <v>797</v>
      </c>
      <c r="C230" s="159"/>
      <c r="D230" s="159"/>
      <c r="E230" s="159"/>
      <c r="F230" s="159"/>
      <c r="G230" s="159"/>
      <c r="H230" s="159"/>
      <c r="I230" s="159"/>
      <c r="J230" s="159"/>
      <c r="K230" s="468">
        <v>400000</v>
      </c>
      <c r="L230" s="468">
        <v>400000</v>
      </c>
      <c r="M230" s="468">
        <v>400000</v>
      </c>
      <c r="N230" s="468">
        <v>400000</v>
      </c>
      <c r="O230" s="468">
        <v>400000</v>
      </c>
    </row>
    <row r="231" spans="1:15" ht="16.5" customHeight="1" thickBot="1">
      <c r="A231" s="159"/>
      <c r="B231" s="159" t="s">
        <v>551</v>
      </c>
      <c r="C231" s="159"/>
      <c r="D231" s="159"/>
      <c r="E231" s="159"/>
      <c r="F231" s="159"/>
      <c r="G231" s="159"/>
      <c r="H231" s="159"/>
      <c r="I231" s="159"/>
      <c r="J231" s="159"/>
      <c r="K231" s="468">
        <v>0</v>
      </c>
      <c r="L231" s="468">
        <v>0</v>
      </c>
      <c r="M231" s="468">
        <v>234000</v>
      </c>
      <c r="N231" s="468">
        <v>700900</v>
      </c>
      <c r="O231" s="468">
        <v>1869000</v>
      </c>
    </row>
    <row r="232" spans="1:15" ht="32.25" customHeight="1" thickBot="1">
      <c r="A232" s="643" t="s">
        <v>222</v>
      </c>
      <c r="B232" s="644" t="s">
        <v>223</v>
      </c>
      <c r="C232" s="278"/>
      <c r="D232" s="646"/>
      <c r="E232" s="646"/>
      <c r="F232" s="188"/>
      <c r="G232" s="188"/>
      <c r="H232" s="188"/>
      <c r="I232" s="188"/>
      <c r="J232" s="644"/>
      <c r="K232" s="639">
        <f>SUM(K233+K239+K242+K244)</f>
        <v>62653058</v>
      </c>
      <c r="L232" s="639">
        <f>SUM(L233+L239+L242+L244)</f>
        <v>52942195.95</v>
      </c>
      <c r="M232" s="639">
        <f>SUM(M233+M239+M242+M244)</f>
        <v>47578542.51</v>
      </c>
      <c r="N232" s="639">
        <f>SUM(N233+N239+N242+N244)</f>
        <v>33173449.4</v>
      </c>
      <c r="O232" s="639">
        <f>SUM(O233+O239+O242+O244)</f>
        <v>22919906.89</v>
      </c>
    </row>
    <row r="233" spans="1:15" ht="64.5" customHeight="1">
      <c r="A233" s="719" t="s">
        <v>225</v>
      </c>
      <c r="B233" s="722" t="s">
        <v>224</v>
      </c>
      <c r="C233" s="658" t="s">
        <v>552</v>
      </c>
      <c r="D233" s="725" t="s">
        <v>553</v>
      </c>
      <c r="E233" s="679" t="s">
        <v>554</v>
      </c>
      <c r="F233" s="588" t="s">
        <v>680</v>
      </c>
      <c r="G233" s="588">
        <v>10</v>
      </c>
      <c r="H233" s="588">
        <v>35</v>
      </c>
      <c r="I233" s="588">
        <v>45</v>
      </c>
      <c r="J233" s="628">
        <v>49.48</v>
      </c>
      <c r="K233" s="716">
        <f>SUM(K236:K238)</f>
        <v>61738058</v>
      </c>
      <c r="L233" s="716">
        <f>SUM(L236:L238)</f>
        <v>30357500</v>
      </c>
      <c r="M233" s="716">
        <f>SUM(M236:M238)</f>
        <v>32107000</v>
      </c>
      <c r="N233" s="716">
        <f>SUM(N236:N238)</f>
        <v>16161000</v>
      </c>
      <c r="O233" s="716">
        <f>SUM(O236:O238)</f>
        <v>13435000</v>
      </c>
    </row>
    <row r="234" spans="1:16" ht="60" customHeight="1">
      <c r="A234" s="720"/>
      <c r="B234" s="723"/>
      <c r="C234" s="658" t="s">
        <v>555</v>
      </c>
      <c r="D234" s="726"/>
      <c r="E234" s="679" t="s">
        <v>554</v>
      </c>
      <c r="F234" s="588" t="s">
        <v>680</v>
      </c>
      <c r="G234" s="588">
        <v>10</v>
      </c>
      <c r="H234" s="588">
        <v>20</v>
      </c>
      <c r="I234" s="588">
        <v>30</v>
      </c>
      <c r="J234" s="628">
        <v>40.34</v>
      </c>
      <c r="K234" s="717"/>
      <c r="L234" s="717"/>
      <c r="M234" s="717"/>
      <c r="N234" s="717"/>
      <c r="O234" s="717"/>
      <c r="P234" s="237"/>
    </row>
    <row r="235" spans="1:16" ht="60" customHeight="1">
      <c r="A235" s="721"/>
      <c r="B235" s="724"/>
      <c r="C235" s="658" t="s">
        <v>781</v>
      </c>
      <c r="D235" s="727"/>
      <c r="E235" s="679" t="s">
        <v>554</v>
      </c>
      <c r="F235" s="588" t="s">
        <v>680</v>
      </c>
      <c r="G235" s="588">
        <v>75</v>
      </c>
      <c r="H235" s="588">
        <v>125</v>
      </c>
      <c r="I235" s="588">
        <v>175</v>
      </c>
      <c r="J235" s="628">
        <v>208.8</v>
      </c>
      <c r="K235" s="718"/>
      <c r="L235" s="718"/>
      <c r="M235" s="718"/>
      <c r="N235" s="718"/>
      <c r="O235" s="718"/>
      <c r="P235" s="237"/>
    </row>
    <row r="236" spans="1:15" ht="30" customHeight="1">
      <c r="A236" s="236"/>
      <c r="B236" s="236" t="s">
        <v>778</v>
      </c>
      <c r="C236" s="236"/>
      <c r="D236" s="236"/>
      <c r="E236" s="236"/>
      <c r="F236" s="236"/>
      <c r="G236" s="236"/>
      <c r="H236" s="236"/>
      <c r="I236" s="236"/>
      <c r="J236" s="236"/>
      <c r="K236" s="469">
        <v>6018558</v>
      </c>
      <c r="L236" s="469">
        <v>3860000</v>
      </c>
      <c r="M236" s="469">
        <v>3725000</v>
      </c>
      <c r="N236" s="469">
        <v>4266000</v>
      </c>
      <c r="O236" s="469">
        <v>3900000</v>
      </c>
    </row>
    <row r="237" spans="1:16" ht="30" customHeight="1">
      <c r="A237" s="236"/>
      <c r="B237" s="236" t="s">
        <v>557</v>
      </c>
      <c r="C237" s="236"/>
      <c r="D237" s="236"/>
      <c r="E237" s="236"/>
      <c r="F237" s="236"/>
      <c r="G237" s="236"/>
      <c r="H237" s="236"/>
      <c r="I237" s="236"/>
      <c r="J237" s="236"/>
      <c r="K237" s="469">
        <v>46510000</v>
      </c>
      <c r="L237" s="469">
        <v>24210500</v>
      </c>
      <c r="M237" s="469">
        <v>25652000</v>
      </c>
      <c r="N237" s="469">
        <v>10615000</v>
      </c>
      <c r="O237" s="469">
        <v>8435000</v>
      </c>
      <c r="P237" s="237"/>
    </row>
    <row r="238" spans="1:15" ht="33" customHeight="1" thickBot="1">
      <c r="A238" s="236"/>
      <c r="B238" s="236" t="s">
        <v>558</v>
      </c>
      <c r="C238" s="236"/>
      <c r="D238" s="236"/>
      <c r="E238" s="236"/>
      <c r="F238" s="236"/>
      <c r="G238" s="236"/>
      <c r="H238" s="236"/>
      <c r="I238" s="236"/>
      <c r="J238" s="236"/>
      <c r="K238" s="469">
        <v>9209500</v>
      </c>
      <c r="L238" s="469">
        <v>2287000</v>
      </c>
      <c r="M238" s="469">
        <v>2730000</v>
      </c>
      <c r="N238" s="469">
        <v>1280000</v>
      </c>
      <c r="O238" s="469">
        <v>1100000</v>
      </c>
    </row>
    <row r="239" spans="1:15" ht="35.25" customHeight="1" thickBot="1">
      <c r="A239" s="651" t="s">
        <v>227</v>
      </c>
      <c r="B239" s="652" t="s">
        <v>228</v>
      </c>
      <c r="C239" s="280" t="s">
        <v>727</v>
      </c>
      <c r="D239" s="281" t="s">
        <v>728</v>
      </c>
      <c r="E239" s="541" t="s">
        <v>418</v>
      </c>
      <c r="F239" s="428" t="s">
        <v>729</v>
      </c>
      <c r="G239" s="629">
        <v>2500000</v>
      </c>
      <c r="H239" s="629">
        <v>3500000</v>
      </c>
      <c r="I239" s="629">
        <v>4500000</v>
      </c>
      <c r="J239" s="630">
        <v>5500000</v>
      </c>
      <c r="K239" s="650">
        <f>SUM(K240:K241)</f>
        <v>250000</v>
      </c>
      <c r="L239" s="650">
        <f>SUM(L240:L241)</f>
        <v>2594000</v>
      </c>
      <c r="M239" s="650">
        <f>SUM(M240:M241)</f>
        <v>3875000</v>
      </c>
      <c r="N239" s="650">
        <f>SUM(N240:N241)</f>
        <v>4781000</v>
      </c>
      <c r="O239" s="650">
        <f>SUM(O240:O241)</f>
        <v>5500000</v>
      </c>
    </row>
    <row r="240" spans="1:15" ht="39.75" customHeight="1" thickBot="1">
      <c r="A240" s="284"/>
      <c r="B240" s="236" t="s">
        <v>559</v>
      </c>
      <c r="C240" s="236"/>
      <c r="D240" s="236"/>
      <c r="E240" s="236"/>
      <c r="F240" s="236"/>
      <c r="G240" s="236"/>
      <c r="H240" s="236"/>
      <c r="I240" s="236"/>
      <c r="J240" s="236"/>
      <c r="K240" s="469">
        <v>250000</v>
      </c>
      <c r="L240" s="469">
        <v>2500000</v>
      </c>
      <c r="M240" s="469">
        <v>3500000</v>
      </c>
      <c r="N240" s="469">
        <v>4500000</v>
      </c>
      <c r="O240" s="469">
        <v>5500000</v>
      </c>
    </row>
    <row r="241" spans="1:15" ht="42.75" customHeight="1" thickBot="1">
      <c r="A241" s="284"/>
      <c r="B241" s="236" t="s">
        <v>560</v>
      </c>
      <c r="C241" s="236"/>
      <c r="D241" s="236"/>
      <c r="E241" s="236"/>
      <c r="F241" s="236"/>
      <c r="G241" s="236"/>
      <c r="H241" s="236"/>
      <c r="I241" s="236"/>
      <c r="J241" s="236"/>
      <c r="K241" s="469">
        <v>0</v>
      </c>
      <c r="L241" s="469">
        <v>94000</v>
      </c>
      <c r="M241" s="469">
        <v>375000</v>
      </c>
      <c r="N241" s="469">
        <v>281000</v>
      </c>
      <c r="O241" s="469">
        <v>0</v>
      </c>
    </row>
    <row r="242" spans="1:15" ht="38.25">
      <c r="A242" s="659" t="s">
        <v>226</v>
      </c>
      <c r="B242" s="658" t="s">
        <v>263</v>
      </c>
      <c r="C242" s="658" t="s">
        <v>561</v>
      </c>
      <c r="D242" s="658" t="s">
        <v>730</v>
      </c>
      <c r="E242" s="588" t="s">
        <v>779</v>
      </c>
      <c r="F242" s="588" t="s">
        <v>680</v>
      </c>
      <c r="G242" s="588">
        <v>3</v>
      </c>
      <c r="H242" s="588">
        <v>5</v>
      </c>
      <c r="I242" s="588">
        <v>8</v>
      </c>
      <c r="J242" s="588">
        <v>10</v>
      </c>
      <c r="K242" s="649">
        <f>SUM(K243)</f>
        <v>665000</v>
      </c>
      <c r="L242" s="649">
        <f>SUM(L243)</f>
        <v>170000</v>
      </c>
      <c r="M242" s="649">
        <f>SUM(M243)</f>
        <v>350000</v>
      </c>
      <c r="N242" s="649">
        <f>SUM(N243)</f>
        <v>300000</v>
      </c>
      <c r="O242" s="649">
        <f>SUM(O243)</f>
        <v>300000</v>
      </c>
    </row>
    <row r="243" spans="1:15" ht="40.5" customHeight="1">
      <c r="A243" s="236"/>
      <c r="B243" s="236" t="s">
        <v>562</v>
      </c>
      <c r="C243" s="159"/>
      <c r="D243" s="236"/>
      <c r="E243" s="236"/>
      <c r="F243" s="236"/>
      <c r="G243" s="236"/>
      <c r="H243" s="236"/>
      <c r="I243" s="236"/>
      <c r="J243" s="236"/>
      <c r="K243" s="469">
        <v>665000</v>
      </c>
      <c r="L243" s="469">
        <v>170000</v>
      </c>
      <c r="M243" s="469">
        <v>350000</v>
      </c>
      <c r="N243" s="469">
        <v>300000</v>
      </c>
      <c r="O243" s="469">
        <v>300000</v>
      </c>
    </row>
    <row r="244" spans="1:48" ht="43.5" customHeight="1">
      <c r="A244" s="659" t="s">
        <v>229</v>
      </c>
      <c r="B244" s="658" t="s">
        <v>231</v>
      </c>
      <c r="C244" s="658" t="s">
        <v>563</v>
      </c>
      <c r="D244" s="658" t="s">
        <v>564</v>
      </c>
      <c r="E244" s="588" t="s">
        <v>780</v>
      </c>
      <c r="F244" s="590" t="s">
        <v>731</v>
      </c>
      <c r="G244" s="590">
        <v>20300</v>
      </c>
      <c r="H244" s="590">
        <v>21000</v>
      </c>
      <c r="I244" s="590">
        <v>21800</v>
      </c>
      <c r="J244" s="590">
        <v>21891</v>
      </c>
      <c r="K244" s="649">
        <f>SUM(K245)</f>
        <v>0</v>
      </c>
      <c r="L244" s="649">
        <f>SUM(L245)</f>
        <v>19820695.95</v>
      </c>
      <c r="M244" s="649">
        <f>SUM(M245)</f>
        <v>11246542.51</v>
      </c>
      <c r="N244" s="649">
        <f>SUM(N245)</f>
        <v>11931449.4</v>
      </c>
      <c r="O244" s="649">
        <f>SUM(O245)</f>
        <v>3684906.89</v>
      </c>
      <c r="P244" s="470"/>
      <c r="Q244" s="444"/>
      <c r="R244" s="444"/>
      <c r="S244" s="444"/>
      <c r="T244" s="444"/>
      <c r="U244" s="444"/>
      <c r="V244" s="444"/>
      <c r="W244" s="444"/>
      <c r="X244" s="444"/>
      <c r="Y244" s="444"/>
      <c r="Z244" s="444"/>
      <c r="AA244" s="444"/>
      <c r="AB244" s="444"/>
      <c r="AC244" s="444"/>
      <c r="AD244" s="444"/>
      <c r="AE244" s="444"/>
      <c r="AF244" s="444"/>
      <c r="AG244" s="444"/>
      <c r="AH244" s="444"/>
      <c r="AI244" s="444"/>
      <c r="AJ244" s="444"/>
      <c r="AK244" s="444"/>
      <c r="AL244" s="444"/>
      <c r="AM244" s="444"/>
      <c r="AN244" s="444"/>
      <c r="AO244" s="444"/>
      <c r="AP244" s="444"/>
      <c r="AQ244" s="444"/>
      <c r="AR244" s="444"/>
      <c r="AS244" s="444"/>
      <c r="AT244" s="444"/>
      <c r="AU244" s="444"/>
      <c r="AV244" s="444"/>
    </row>
    <row r="245" spans="1:48" s="153" customFormat="1" ht="46.5" customHeight="1" thickBot="1">
      <c r="A245" s="159"/>
      <c r="B245" s="159" t="s">
        <v>565</v>
      </c>
      <c r="C245" s="159"/>
      <c r="D245" s="159"/>
      <c r="E245" s="159"/>
      <c r="F245" s="159"/>
      <c r="G245" s="159"/>
      <c r="H245" s="159"/>
      <c r="I245" s="159"/>
      <c r="J245" s="159"/>
      <c r="K245" s="468">
        <v>0</v>
      </c>
      <c r="L245" s="468">
        <v>19820695.95</v>
      </c>
      <c r="M245" s="468">
        <v>11246542.51</v>
      </c>
      <c r="N245" s="468">
        <v>11931449.4</v>
      </c>
      <c r="O245" s="468">
        <v>3684906.89</v>
      </c>
      <c r="P245" s="631"/>
      <c r="Q245" s="632"/>
      <c r="R245" s="632"/>
      <c r="S245" s="632"/>
      <c r="T245" s="632"/>
      <c r="U245" s="632"/>
      <c r="V245" s="632"/>
      <c r="W245" s="632"/>
      <c r="X245" s="632"/>
      <c r="Y245" s="632"/>
      <c r="Z245" s="632"/>
      <c r="AA245" s="632"/>
      <c r="AB245" s="632"/>
      <c r="AC245" s="632"/>
      <c r="AD245" s="632"/>
      <c r="AE245" s="632"/>
      <c r="AF245" s="632"/>
      <c r="AG245" s="632"/>
      <c r="AH245" s="632"/>
      <c r="AI245" s="632"/>
      <c r="AJ245" s="632"/>
      <c r="AK245" s="632"/>
      <c r="AL245" s="632"/>
      <c r="AM245" s="632"/>
      <c r="AN245" s="632"/>
      <c r="AO245" s="632"/>
      <c r="AP245" s="632"/>
      <c r="AQ245" s="632"/>
      <c r="AR245" s="632"/>
      <c r="AS245" s="632"/>
      <c r="AT245" s="632"/>
      <c r="AU245" s="632"/>
      <c r="AV245" s="632"/>
    </row>
    <row r="246" spans="1:15" ht="31.5" customHeight="1">
      <c r="A246" s="643" t="s">
        <v>232</v>
      </c>
      <c r="B246" s="644" t="s">
        <v>233</v>
      </c>
      <c r="C246" s="471"/>
      <c r="D246" s="471"/>
      <c r="E246" s="472"/>
      <c r="F246" s="473"/>
      <c r="G246" s="473"/>
      <c r="H246" s="473"/>
      <c r="I246" s="473"/>
      <c r="J246" s="528"/>
      <c r="K246" s="639">
        <f>SUM(K247+K250+K254)</f>
        <v>269450</v>
      </c>
      <c r="L246" s="639">
        <f>SUM(L247+L250+L254)</f>
        <v>9488350</v>
      </c>
      <c r="M246" s="639">
        <f>SUM(M247+M250+M254)</f>
        <v>16687150</v>
      </c>
      <c r="N246" s="639">
        <f>SUM(N247+N250+N254)</f>
        <v>24229750</v>
      </c>
      <c r="O246" s="639">
        <f>SUM(O247+O250+O254)</f>
        <v>21620560</v>
      </c>
    </row>
    <row r="247" spans="1:15" ht="57" customHeight="1">
      <c r="A247" s="663" t="s">
        <v>234</v>
      </c>
      <c r="B247" s="664" t="s">
        <v>237</v>
      </c>
      <c r="C247" s="548" t="s">
        <v>568</v>
      </c>
      <c r="D247" s="548" t="s">
        <v>569</v>
      </c>
      <c r="E247" s="548" t="s">
        <v>273</v>
      </c>
      <c r="F247" s="548" t="s">
        <v>732</v>
      </c>
      <c r="G247" s="548">
        <v>8</v>
      </c>
      <c r="H247" s="548">
        <v>10</v>
      </c>
      <c r="I247" s="548">
        <v>13</v>
      </c>
      <c r="J247" s="548">
        <v>15</v>
      </c>
      <c r="K247" s="642">
        <f>SUM(K248:K249)</f>
        <v>14450</v>
      </c>
      <c r="L247" s="642">
        <f>SUM(L248:L249)</f>
        <v>45850</v>
      </c>
      <c r="M247" s="642">
        <f>SUM(M248:M249)</f>
        <v>64150</v>
      </c>
      <c r="N247" s="642">
        <f>SUM(N248:N249)</f>
        <v>80250</v>
      </c>
      <c r="O247" s="642">
        <f>SUM(O248:O249)</f>
        <v>88560</v>
      </c>
    </row>
    <row r="248" spans="1:15" ht="59.25" customHeight="1">
      <c r="A248" s="250"/>
      <c r="B248" s="246" t="s">
        <v>570</v>
      </c>
      <c r="C248" s="474"/>
      <c r="D248" s="475"/>
      <c r="E248" s="475"/>
      <c r="F248" s="475"/>
      <c r="G248" s="475"/>
      <c r="H248" s="475"/>
      <c r="I248" s="475"/>
      <c r="J248" s="475"/>
      <c r="K248" s="476">
        <v>0</v>
      </c>
      <c r="L248" s="476">
        <v>19000</v>
      </c>
      <c r="M248" s="476">
        <v>26500</v>
      </c>
      <c r="N248" s="476">
        <v>34000</v>
      </c>
      <c r="O248" s="476">
        <v>40000</v>
      </c>
    </row>
    <row r="249" spans="1:15" ht="51">
      <c r="A249" s="250"/>
      <c r="B249" s="250" t="s">
        <v>571</v>
      </c>
      <c r="C249" s="477"/>
      <c r="D249" s="475"/>
      <c r="E249" s="246"/>
      <c r="F249" s="246"/>
      <c r="G249" s="246"/>
      <c r="H249" s="246"/>
      <c r="I249" s="246"/>
      <c r="J249" s="246"/>
      <c r="K249" s="476">
        <v>14450</v>
      </c>
      <c r="L249" s="476">
        <v>26850</v>
      </c>
      <c r="M249" s="476">
        <v>37650</v>
      </c>
      <c r="N249" s="476">
        <v>46250</v>
      </c>
      <c r="O249" s="478">
        <v>48560</v>
      </c>
    </row>
    <row r="250" spans="1:15" ht="51">
      <c r="A250" s="663" t="s">
        <v>235</v>
      </c>
      <c r="B250" s="664" t="s">
        <v>238</v>
      </c>
      <c r="C250" s="548" t="s">
        <v>572</v>
      </c>
      <c r="D250" s="548" t="s">
        <v>573</v>
      </c>
      <c r="E250" s="548" t="s">
        <v>273</v>
      </c>
      <c r="F250" s="548" t="s">
        <v>680</v>
      </c>
      <c r="G250" s="548">
        <v>1</v>
      </c>
      <c r="H250" s="548">
        <v>0</v>
      </c>
      <c r="I250" s="548">
        <v>2</v>
      </c>
      <c r="J250" s="548">
        <v>2</v>
      </c>
      <c r="K250" s="642">
        <f>SUM(K251:K253)</f>
        <v>255000</v>
      </c>
      <c r="L250" s="642">
        <f>SUM(L251:L253)</f>
        <v>770000</v>
      </c>
      <c r="M250" s="642">
        <f>SUM(M251:M253)</f>
        <v>895000</v>
      </c>
      <c r="N250" s="642">
        <f>SUM(N251:N253)</f>
        <v>910000</v>
      </c>
      <c r="O250" s="642">
        <f>SUM(O251:O253)</f>
        <v>935000</v>
      </c>
    </row>
    <row r="251" spans="1:15" ht="25.5">
      <c r="A251" s="250"/>
      <c r="B251" s="250" t="s">
        <v>770</v>
      </c>
      <c r="C251" s="477"/>
      <c r="D251" s="250"/>
      <c r="E251" s="475"/>
      <c r="F251" s="246"/>
      <c r="G251" s="246"/>
      <c r="H251" s="246"/>
      <c r="I251" s="246"/>
      <c r="J251" s="246"/>
      <c r="K251" s="476">
        <v>0</v>
      </c>
      <c r="L251" s="476">
        <v>160000</v>
      </c>
      <c r="M251" s="476">
        <v>160000</v>
      </c>
      <c r="N251" s="476">
        <v>0</v>
      </c>
      <c r="O251" s="476">
        <v>0</v>
      </c>
    </row>
    <row r="252" spans="1:15" ht="51">
      <c r="A252" s="250"/>
      <c r="B252" s="683" t="s">
        <v>790</v>
      </c>
      <c r="C252" s="477"/>
      <c r="D252" s="250"/>
      <c r="E252" s="475"/>
      <c r="F252" s="246"/>
      <c r="G252" s="246"/>
      <c r="H252" s="246"/>
      <c r="I252" s="246"/>
      <c r="J252" s="246"/>
      <c r="K252" s="476">
        <v>35000</v>
      </c>
      <c r="L252" s="476">
        <v>110000</v>
      </c>
      <c r="M252" s="476">
        <v>35000</v>
      </c>
      <c r="N252" s="476">
        <v>110000</v>
      </c>
      <c r="O252" s="476">
        <v>35000</v>
      </c>
    </row>
    <row r="253" spans="1:15" ht="51">
      <c r="A253" s="250"/>
      <c r="B253" s="250" t="s">
        <v>768</v>
      </c>
      <c r="C253" s="477"/>
      <c r="D253" s="250"/>
      <c r="E253" s="475"/>
      <c r="F253" s="246"/>
      <c r="G253" s="246"/>
      <c r="H253" s="246"/>
      <c r="I253" s="246"/>
      <c r="J253" s="246"/>
      <c r="K253" s="476">
        <v>220000</v>
      </c>
      <c r="L253" s="476">
        <v>500000</v>
      </c>
      <c r="M253" s="476">
        <v>700000</v>
      </c>
      <c r="N253" s="476">
        <v>800000</v>
      </c>
      <c r="O253" s="476">
        <v>900000</v>
      </c>
    </row>
    <row r="254" spans="1:15" ht="54.75" customHeight="1">
      <c r="A254" s="663" t="s">
        <v>236</v>
      </c>
      <c r="B254" s="664" t="s">
        <v>239</v>
      </c>
      <c r="C254" s="548" t="s">
        <v>577</v>
      </c>
      <c r="D254" s="525" t="s">
        <v>578</v>
      </c>
      <c r="E254" s="548" t="s">
        <v>273</v>
      </c>
      <c r="F254" s="548" t="s">
        <v>733</v>
      </c>
      <c r="G254" s="548">
        <v>2</v>
      </c>
      <c r="H254" s="548">
        <v>0</v>
      </c>
      <c r="I254" s="548">
        <v>1</v>
      </c>
      <c r="J254" s="548">
        <v>1</v>
      </c>
      <c r="K254" s="642">
        <f>SUM(K255:K258)</f>
        <v>0</v>
      </c>
      <c r="L254" s="642">
        <f>SUM(L255:L258)</f>
        <v>8672500</v>
      </c>
      <c r="M254" s="642">
        <f>SUM(M255:M258)</f>
        <v>15728000</v>
      </c>
      <c r="N254" s="642">
        <f>SUM(N255:N258)</f>
        <v>23239500</v>
      </c>
      <c r="O254" s="642">
        <f>SUM(O255:O258)</f>
        <v>20597000</v>
      </c>
    </row>
    <row r="255" spans="1:15" ht="25.5">
      <c r="A255" s="250"/>
      <c r="B255" s="250" t="s">
        <v>579</v>
      </c>
      <c r="C255" s="474"/>
      <c r="D255" s="250"/>
      <c r="E255" s="246"/>
      <c r="F255" s="246"/>
      <c r="G255" s="246"/>
      <c r="H255" s="246"/>
      <c r="I255" s="246"/>
      <c r="J255" s="246"/>
      <c r="K255" s="476">
        <v>0</v>
      </c>
      <c r="L255" s="476">
        <v>22500</v>
      </c>
      <c r="M255" s="476">
        <v>34000</v>
      </c>
      <c r="N255" s="476">
        <v>45500</v>
      </c>
      <c r="O255" s="476">
        <v>55000</v>
      </c>
    </row>
    <row r="256" spans="1:15" ht="51">
      <c r="A256" s="250"/>
      <c r="B256" s="250" t="s">
        <v>769</v>
      </c>
      <c r="C256" s="477"/>
      <c r="D256" s="250"/>
      <c r="E256" s="475"/>
      <c r="F256" s="479"/>
      <c r="G256" s="479"/>
      <c r="H256" s="479"/>
      <c r="I256" s="479"/>
      <c r="J256" s="479"/>
      <c r="K256" s="476">
        <v>0</v>
      </c>
      <c r="L256" s="476">
        <v>7000000</v>
      </c>
      <c r="M256" s="476">
        <v>11500000</v>
      </c>
      <c r="N256" s="476">
        <v>17500000</v>
      </c>
      <c r="O256" s="476">
        <v>20000000</v>
      </c>
    </row>
    <row r="257" spans="1:15" ht="25.5">
      <c r="A257" s="250"/>
      <c r="B257" s="251" t="s">
        <v>803</v>
      </c>
      <c r="C257" s="480"/>
      <c r="D257" s="251"/>
      <c r="E257" s="481"/>
      <c r="F257" s="482"/>
      <c r="G257" s="482"/>
      <c r="H257" s="482"/>
      <c r="I257" s="482"/>
      <c r="J257" s="482"/>
      <c r="K257" s="483">
        <v>0</v>
      </c>
      <c r="L257" s="483">
        <v>1500000</v>
      </c>
      <c r="M257" s="483">
        <v>3500000</v>
      </c>
      <c r="N257" s="483">
        <v>5000000</v>
      </c>
      <c r="O257" s="476">
        <v>0</v>
      </c>
    </row>
    <row r="258" spans="1:15" ht="26.25" thickBot="1">
      <c r="A258" s="250"/>
      <c r="B258" s="251" t="s">
        <v>804</v>
      </c>
      <c r="C258" s="484"/>
      <c r="D258" s="485"/>
      <c r="E258" s="486"/>
      <c r="F258" s="486"/>
      <c r="G258" s="487"/>
      <c r="H258" s="487"/>
      <c r="I258" s="487"/>
      <c r="J258" s="487"/>
      <c r="K258" s="483">
        <v>0</v>
      </c>
      <c r="L258" s="483">
        <v>150000</v>
      </c>
      <c r="M258" s="483">
        <v>694000</v>
      </c>
      <c r="N258" s="483">
        <v>694000</v>
      </c>
      <c r="O258" s="476">
        <v>542000</v>
      </c>
    </row>
    <row r="259" spans="1:15" ht="45" customHeight="1" thickBot="1">
      <c r="A259" s="643" t="s">
        <v>240</v>
      </c>
      <c r="B259" s="539" t="s">
        <v>243</v>
      </c>
      <c r="C259" s="549"/>
      <c r="D259" s="549"/>
      <c r="E259" s="549"/>
      <c r="F259" s="550"/>
      <c r="G259" s="488"/>
      <c r="H259" s="188"/>
      <c r="I259" s="188"/>
      <c r="J259" s="644"/>
      <c r="K259" s="639">
        <f>SUM(K260+K269)</f>
        <v>11503852</v>
      </c>
      <c r="L259" s="639">
        <f>SUM(L260+L269)</f>
        <v>12120302</v>
      </c>
      <c r="M259" s="639">
        <f>SUM(M260+M269)</f>
        <v>12327452</v>
      </c>
      <c r="N259" s="639">
        <f>SUM(N260+N269)</f>
        <v>11523922</v>
      </c>
      <c r="O259" s="639">
        <f>SUM(O260+O269)</f>
        <v>11523922</v>
      </c>
    </row>
    <row r="260" spans="1:15" ht="48.75" customHeight="1">
      <c r="A260" s="784" t="s">
        <v>241</v>
      </c>
      <c r="B260" s="785" t="s">
        <v>245</v>
      </c>
      <c r="C260" s="489" t="s">
        <v>581</v>
      </c>
      <c r="D260" s="489" t="s">
        <v>582</v>
      </c>
      <c r="E260" s="551" t="s">
        <v>777</v>
      </c>
      <c r="F260" s="551" t="s">
        <v>680</v>
      </c>
      <c r="G260" s="551">
        <v>0</v>
      </c>
      <c r="H260" s="551">
        <v>1</v>
      </c>
      <c r="I260" s="551">
        <v>0</v>
      </c>
      <c r="J260" s="551">
        <v>0</v>
      </c>
      <c r="K260" s="786">
        <f>SUM(K262:K268)</f>
        <v>10923017</v>
      </c>
      <c r="L260" s="786">
        <f>SUM(L262:L268)</f>
        <v>11533617</v>
      </c>
      <c r="M260" s="786">
        <f>SUM(M262:M268)</f>
        <v>11708767</v>
      </c>
      <c r="N260" s="786">
        <f>SUM(N262:N268)</f>
        <v>10923922</v>
      </c>
      <c r="O260" s="786">
        <f>SUM(O262:O268)</f>
        <v>10923922</v>
      </c>
    </row>
    <row r="261" spans="1:19" ht="47.25" customHeight="1">
      <c r="A261" s="785"/>
      <c r="B261" s="785"/>
      <c r="C261" s="489" t="s">
        <v>583</v>
      </c>
      <c r="D261" s="489" t="s">
        <v>584</v>
      </c>
      <c r="E261" s="551" t="s">
        <v>777</v>
      </c>
      <c r="F261" s="551" t="s">
        <v>680</v>
      </c>
      <c r="G261" s="551">
        <v>0</v>
      </c>
      <c r="H261" s="551">
        <v>0</v>
      </c>
      <c r="I261" s="551">
        <v>1</v>
      </c>
      <c r="J261" s="551">
        <v>0</v>
      </c>
      <c r="K261" s="786"/>
      <c r="L261" s="786"/>
      <c r="M261" s="786"/>
      <c r="N261" s="786"/>
      <c r="O261" s="786"/>
      <c r="P261" s="237"/>
      <c r="R261" s="237"/>
      <c r="S261" s="237"/>
    </row>
    <row r="262" spans="1:19" ht="12.75">
      <c r="A262" s="250"/>
      <c r="B262" s="181" t="s">
        <v>585</v>
      </c>
      <c r="C262" s="250"/>
      <c r="D262" s="250"/>
      <c r="E262" s="246"/>
      <c r="F262" s="246"/>
      <c r="G262" s="246"/>
      <c r="H262" s="246"/>
      <c r="I262" s="246"/>
      <c r="J262" s="246"/>
      <c r="K262" s="476">
        <v>0</v>
      </c>
      <c r="L262" s="476">
        <v>40000</v>
      </c>
      <c r="M262" s="476">
        <v>0</v>
      </c>
      <c r="N262" s="476">
        <v>0</v>
      </c>
      <c r="O262" s="476">
        <v>0</v>
      </c>
      <c r="S262" s="237"/>
    </row>
    <row r="263" spans="1:19" ht="12.75">
      <c r="A263" s="250"/>
      <c r="B263" s="250" t="s">
        <v>586</v>
      </c>
      <c r="C263" s="250"/>
      <c r="D263" s="250"/>
      <c r="E263" s="246"/>
      <c r="F263" s="246"/>
      <c r="G263" s="246"/>
      <c r="H263" s="246"/>
      <c r="I263" s="246"/>
      <c r="J263" s="246"/>
      <c r="K263" s="476">
        <v>0</v>
      </c>
      <c r="L263" s="476">
        <v>0</v>
      </c>
      <c r="M263" s="476">
        <v>15000</v>
      </c>
      <c r="N263" s="476">
        <v>0</v>
      </c>
      <c r="O263" s="476">
        <v>0</v>
      </c>
      <c r="S263" s="237"/>
    </row>
    <row r="264" spans="1:19" ht="12.75">
      <c r="A264" s="250"/>
      <c r="B264" s="250" t="s">
        <v>587</v>
      </c>
      <c r="C264" s="250"/>
      <c r="D264" s="250"/>
      <c r="E264" s="246"/>
      <c r="F264" s="246"/>
      <c r="G264" s="246"/>
      <c r="H264" s="246"/>
      <c r="I264" s="246"/>
      <c r="J264" s="246"/>
      <c r="K264" s="476">
        <v>0</v>
      </c>
      <c r="L264" s="476">
        <v>0</v>
      </c>
      <c r="M264" s="476">
        <v>200000</v>
      </c>
      <c r="N264" s="476">
        <v>0</v>
      </c>
      <c r="O264" s="476">
        <v>0</v>
      </c>
      <c r="S264" s="237"/>
    </row>
    <row r="265" spans="1:19" ht="28.5" customHeight="1">
      <c r="A265" s="250"/>
      <c r="B265" s="683" t="s">
        <v>791</v>
      </c>
      <c r="C265" s="250"/>
      <c r="D265" s="250"/>
      <c r="E265" s="246"/>
      <c r="F265" s="246"/>
      <c r="G265" s="246"/>
      <c r="H265" s="246"/>
      <c r="I265" s="246"/>
      <c r="J265" s="246"/>
      <c r="K265" s="476">
        <v>486095</v>
      </c>
      <c r="L265" s="476">
        <v>486695</v>
      </c>
      <c r="M265" s="476">
        <v>486845</v>
      </c>
      <c r="N265" s="476">
        <v>487000</v>
      </c>
      <c r="O265" s="476">
        <v>487000</v>
      </c>
      <c r="S265" s="237"/>
    </row>
    <row r="266" spans="1:19" ht="12.75">
      <c r="A266" s="250"/>
      <c r="B266" s="633" t="s">
        <v>771</v>
      </c>
      <c r="C266" s="250"/>
      <c r="D266" s="250"/>
      <c r="E266" s="246"/>
      <c r="F266" s="246"/>
      <c r="G266" s="246"/>
      <c r="H266" s="246"/>
      <c r="I266" s="246"/>
      <c r="J266" s="246"/>
      <c r="K266" s="476">
        <v>2000322</v>
      </c>
      <c r="L266" s="476">
        <v>2000322</v>
      </c>
      <c r="M266" s="476">
        <v>2000322</v>
      </c>
      <c r="N266" s="476">
        <v>2000322</v>
      </c>
      <c r="O266" s="476">
        <v>2000322</v>
      </c>
      <c r="S266" s="237"/>
    </row>
    <row r="267" spans="1:19" ht="38.25">
      <c r="A267" s="250"/>
      <c r="B267" s="250" t="s">
        <v>765</v>
      </c>
      <c r="C267" s="250"/>
      <c r="D267" s="250"/>
      <c r="E267" s="246"/>
      <c r="F267" s="246"/>
      <c r="G267" s="246"/>
      <c r="H267" s="246"/>
      <c r="I267" s="246"/>
      <c r="J267" s="246"/>
      <c r="K267" s="476">
        <v>8436600</v>
      </c>
      <c r="L267" s="476">
        <v>8436600</v>
      </c>
      <c r="M267" s="476">
        <v>8436600</v>
      </c>
      <c r="N267" s="476">
        <v>8436600</v>
      </c>
      <c r="O267" s="476">
        <v>8436600</v>
      </c>
      <c r="P267" s="237"/>
      <c r="S267" s="237"/>
    </row>
    <row r="268" spans="1:19" ht="25.5">
      <c r="A268" s="250"/>
      <c r="B268" s="250" t="s">
        <v>589</v>
      </c>
      <c r="C268" s="250"/>
      <c r="D268" s="250"/>
      <c r="E268" s="246"/>
      <c r="F268" s="246"/>
      <c r="G268" s="246"/>
      <c r="H268" s="246"/>
      <c r="I268" s="246"/>
      <c r="J268" s="246"/>
      <c r="K268" s="476">
        <v>0</v>
      </c>
      <c r="L268" s="476">
        <v>570000</v>
      </c>
      <c r="M268" s="476">
        <v>570000</v>
      </c>
      <c r="N268" s="476">
        <v>0</v>
      </c>
      <c r="O268" s="476">
        <v>0</v>
      </c>
      <c r="P268" s="237"/>
      <c r="S268" s="237"/>
    </row>
    <row r="269" spans="1:16" ht="12.75" customHeight="1">
      <c r="A269" s="663" t="s">
        <v>242</v>
      </c>
      <c r="B269" s="664" t="s">
        <v>244</v>
      </c>
      <c r="C269" s="553" t="s">
        <v>590</v>
      </c>
      <c r="D269" s="553" t="s">
        <v>591</v>
      </c>
      <c r="E269" s="551" t="s">
        <v>273</v>
      </c>
      <c r="F269" s="551" t="s">
        <v>680</v>
      </c>
      <c r="G269" s="551">
        <v>0</v>
      </c>
      <c r="H269" s="552">
        <v>15000</v>
      </c>
      <c r="I269" s="551">
        <v>0</v>
      </c>
      <c r="J269" s="548">
        <v>0</v>
      </c>
      <c r="K269" s="537">
        <f>K270+K271+K272+K273</f>
        <v>580835</v>
      </c>
      <c r="L269" s="537">
        <f>L270+L271+L272+L273</f>
        <v>586685</v>
      </c>
      <c r="M269" s="538">
        <f>M270+M271+M272+M273</f>
        <v>618685</v>
      </c>
      <c r="N269" s="538">
        <f>N270+N271+N272+N273</f>
        <v>600000</v>
      </c>
      <c r="O269" s="538">
        <f>O270+O271+O272+O273</f>
        <v>600000</v>
      </c>
      <c r="P269" s="237"/>
    </row>
    <row r="270" spans="1:15" ht="38.25">
      <c r="A270" s="250"/>
      <c r="B270" s="490" t="s">
        <v>592</v>
      </c>
      <c r="C270" s="250"/>
      <c r="D270" s="250"/>
      <c r="E270" s="246"/>
      <c r="F270" s="246"/>
      <c r="G270" s="246"/>
      <c r="H270" s="246"/>
      <c r="I270" s="246"/>
      <c r="J270" s="246"/>
      <c r="K270" s="476">
        <v>0</v>
      </c>
      <c r="L270" s="476">
        <v>0</v>
      </c>
      <c r="M270" s="476">
        <v>20000</v>
      </c>
      <c r="N270" s="476">
        <v>0</v>
      </c>
      <c r="O270" s="476">
        <v>0</v>
      </c>
    </row>
    <row r="271" spans="1:15" ht="27" customHeight="1">
      <c r="A271" s="250"/>
      <c r="B271" s="250" t="s">
        <v>593</v>
      </c>
      <c r="C271" s="250"/>
      <c r="D271" s="250"/>
      <c r="E271" s="246"/>
      <c r="F271" s="246"/>
      <c r="G271" s="246"/>
      <c r="H271" s="246"/>
      <c r="I271" s="246"/>
      <c r="J271" s="246"/>
      <c r="K271" s="476">
        <v>480835</v>
      </c>
      <c r="L271" s="476">
        <v>486685</v>
      </c>
      <c r="M271" s="476">
        <v>498685</v>
      </c>
      <c r="N271" s="476">
        <v>500000</v>
      </c>
      <c r="O271" s="476">
        <v>500000</v>
      </c>
    </row>
    <row r="272" spans="1:15" ht="25.5">
      <c r="A272" s="250"/>
      <c r="B272" s="250" t="s">
        <v>594</v>
      </c>
      <c r="C272" s="250"/>
      <c r="D272" s="250"/>
      <c r="E272" s="246"/>
      <c r="F272" s="246"/>
      <c r="G272" s="246"/>
      <c r="H272" s="246"/>
      <c r="I272" s="246"/>
      <c r="J272" s="246"/>
      <c r="K272" s="476">
        <v>50000</v>
      </c>
      <c r="L272" s="476">
        <v>50000</v>
      </c>
      <c r="M272" s="476">
        <v>50000</v>
      </c>
      <c r="N272" s="476">
        <v>50000</v>
      </c>
      <c r="O272" s="476">
        <v>50000</v>
      </c>
    </row>
    <row r="273" spans="1:15" ht="26.25" thickBot="1">
      <c r="A273" s="680"/>
      <c r="B273" s="491" t="s">
        <v>616</v>
      </c>
      <c r="C273" s="680"/>
      <c r="D273" s="680"/>
      <c r="E273" s="680"/>
      <c r="F273" s="680"/>
      <c r="G273" s="680"/>
      <c r="H273" s="680"/>
      <c r="I273" s="680"/>
      <c r="J273" s="680"/>
      <c r="K273" s="492">
        <v>50000</v>
      </c>
      <c r="L273" s="492">
        <v>50000</v>
      </c>
      <c r="M273" s="492">
        <v>50000</v>
      </c>
      <c r="N273" s="492">
        <v>50000</v>
      </c>
      <c r="O273" s="492">
        <v>50000</v>
      </c>
    </row>
    <row r="274" spans="1:16" ht="37.5" customHeight="1" thickBot="1">
      <c r="A274" s="896" t="s">
        <v>608</v>
      </c>
      <c r="B274" s="897"/>
      <c r="C274" s="897"/>
      <c r="D274" s="897"/>
      <c r="E274" s="897"/>
      <c r="F274" s="897"/>
      <c r="G274" s="897"/>
      <c r="H274" s="897"/>
      <c r="I274" s="897"/>
      <c r="J274" s="638"/>
      <c r="K274" s="493">
        <f>SUM(K4+K110+K208)</f>
        <v>127096498.74599999</v>
      </c>
      <c r="L274" s="493">
        <f>SUM(L4+L110+L208)</f>
        <v>509825396.32600003</v>
      </c>
      <c r="M274" s="493">
        <f>SUM(M4+M110+M208)</f>
        <v>452165030.3931875</v>
      </c>
      <c r="N274" s="493">
        <f>SUM(N4+N110+N208)</f>
        <v>224902809.0845625</v>
      </c>
      <c r="O274" s="493">
        <f>SUM(O4+O110+O208)</f>
        <v>151064096.3338396</v>
      </c>
      <c r="P274" s="237"/>
    </row>
    <row r="275" spans="1:13" ht="13.5" thickBot="1">
      <c r="A275" s="462"/>
      <c r="B275" s="462"/>
      <c r="C275" s="462"/>
      <c r="D275" s="462"/>
      <c r="E275" s="462"/>
      <c r="F275" s="462"/>
      <c r="G275" s="462"/>
      <c r="H275" s="462"/>
      <c r="I275" s="462"/>
      <c r="J275" s="462"/>
      <c r="K275" s="462"/>
      <c r="L275" s="462"/>
      <c r="M275" s="462"/>
    </row>
    <row r="276" spans="1:15" ht="12.75">
      <c r="A276" s="895" t="s">
        <v>21</v>
      </c>
      <c r="B276" s="895"/>
      <c r="C276" s="462"/>
      <c r="D276" s="462"/>
      <c r="E276" s="462"/>
      <c r="F276" s="462"/>
      <c r="G276" s="462"/>
      <c r="H276" s="462"/>
      <c r="I276" s="462"/>
      <c r="J276" s="462"/>
      <c r="K276" s="462"/>
      <c r="L276" s="462"/>
      <c r="M276" s="462"/>
      <c r="N276" s="494" t="s">
        <v>609</v>
      </c>
      <c r="O276" s="237"/>
    </row>
    <row r="277" spans="1:2" ht="12.75">
      <c r="A277" s="495" t="s">
        <v>84</v>
      </c>
      <c r="B277" s="180"/>
    </row>
    <row r="278" spans="1:2" ht="12.75">
      <c r="A278" s="495" t="s">
        <v>107</v>
      </c>
      <c r="B278" s="495"/>
    </row>
    <row r="279" spans="1:2" ht="12.75">
      <c r="A279" s="495"/>
      <c r="B279" s="496"/>
    </row>
    <row r="280" spans="1:2" ht="12.75">
      <c r="A280" s="497"/>
      <c r="B280" s="498"/>
    </row>
    <row r="281" spans="1:2" ht="12.75">
      <c r="A281" s="495"/>
      <c r="B281" s="496"/>
    </row>
    <row r="282" spans="1:13" ht="12.75">
      <c r="A282" s="180"/>
      <c r="B282" s="681"/>
      <c r="C282" s="180"/>
      <c r="D282" s="180"/>
      <c r="E282" s="180"/>
      <c r="F282" s="180"/>
      <c r="G282" s="180"/>
      <c r="H282" s="180"/>
      <c r="I282" s="180"/>
      <c r="J282" s="180"/>
      <c r="K282" s="180"/>
      <c r="L282" s="180"/>
      <c r="M282" s="180"/>
    </row>
    <row r="283" spans="1:2" ht="12.75">
      <c r="A283" s="181" t="s">
        <v>274</v>
      </c>
      <c r="B283" s="667"/>
    </row>
    <row r="284" spans="1:13" ht="12.75">
      <c r="A284" s="181" t="s">
        <v>280</v>
      </c>
      <c r="B284" s="668"/>
      <c r="C284" s="275"/>
      <c r="D284" s="275"/>
      <c r="E284" s="275"/>
      <c r="F284" s="275"/>
      <c r="G284" s="275"/>
      <c r="H284" s="275"/>
      <c r="I284" s="275"/>
      <c r="J284" s="275"/>
      <c r="K284" s="275"/>
      <c r="L284" s="275"/>
      <c r="M284" s="275"/>
    </row>
    <row r="285" spans="1:13" ht="12.75">
      <c r="A285" s="181" t="s">
        <v>290</v>
      </c>
      <c r="B285" s="668"/>
      <c r="C285" s="275"/>
      <c r="D285" s="275"/>
      <c r="E285" s="275"/>
      <c r="F285" s="275"/>
      <c r="G285" s="275"/>
      <c r="H285" s="275"/>
      <c r="I285" s="275"/>
      <c r="J285" s="275"/>
      <c r="K285" s="275"/>
      <c r="L285" s="275"/>
      <c r="M285" s="275"/>
    </row>
    <row r="286" spans="2:13" ht="12.75">
      <c r="B286" s="668"/>
      <c r="C286" s="275"/>
      <c r="D286" s="275"/>
      <c r="E286" s="275"/>
      <c r="F286" s="275"/>
      <c r="G286" s="275"/>
      <c r="H286" s="275"/>
      <c r="I286" s="275"/>
      <c r="J286" s="275"/>
      <c r="K286" s="275"/>
      <c r="L286" s="275"/>
      <c r="M286" s="275"/>
    </row>
    <row r="287" spans="2:13" ht="12.75">
      <c r="B287" s="668"/>
      <c r="C287" s="275"/>
      <c r="D287" s="275"/>
      <c r="E287" s="275"/>
      <c r="F287" s="275"/>
      <c r="G287" s="275"/>
      <c r="H287" s="275"/>
      <c r="I287" s="275"/>
      <c r="J287" s="275"/>
      <c r="K287" s="275"/>
      <c r="L287" s="275"/>
      <c r="M287" s="275"/>
    </row>
    <row r="288" spans="2:13" ht="12.75">
      <c r="B288" s="668"/>
      <c r="C288" s="275"/>
      <c r="D288" s="275"/>
      <c r="E288" s="275"/>
      <c r="F288" s="275"/>
      <c r="G288" s="275"/>
      <c r="H288" s="275"/>
      <c r="I288" s="275"/>
      <c r="J288" s="275"/>
      <c r="K288" s="275"/>
      <c r="L288" s="275"/>
      <c r="M288" s="275"/>
    </row>
    <row r="289" spans="2:13" ht="12.75">
      <c r="B289" s="275"/>
      <c r="C289" s="275"/>
      <c r="D289" s="275"/>
      <c r="E289" s="275"/>
      <c r="F289" s="275"/>
      <c r="G289" s="275"/>
      <c r="H289" s="275"/>
      <c r="I289" s="275"/>
      <c r="J289" s="275"/>
      <c r="K289" s="275"/>
      <c r="L289" s="275"/>
      <c r="M289" s="275"/>
    </row>
    <row r="290" spans="2:13" ht="12.75">
      <c r="B290" s="275"/>
      <c r="C290" s="275"/>
      <c r="D290" s="275"/>
      <c r="E290" s="275"/>
      <c r="F290" s="275"/>
      <c r="G290" s="275"/>
      <c r="H290" s="275"/>
      <c r="I290" s="275"/>
      <c r="J290" s="275"/>
      <c r="K290" s="275"/>
      <c r="L290" s="275"/>
      <c r="M290" s="275"/>
    </row>
    <row r="291" spans="2:13" ht="12.75">
      <c r="B291" s="275"/>
      <c r="C291" s="275"/>
      <c r="D291" s="275"/>
      <c r="E291" s="275"/>
      <c r="F291" s="275"/>
      <c r="G291" s="275"/>
      <c r="H291" s="275"/>
      <c r="I291" s="275"/>
      <c r="J291" s="275"/>
      <c r="K291" s="275"/>
      <c r="L291" s="275"/>
      <c r="M291" s="275"/>
    </row>
    <row r="292" spans="2:13" ht="12.75">
      <c r="B292" s="275"/>
      <c r="C292" s="275"/>
      <c r="D292" s="275"/>
      <c r="E292" s="275"/>
      <c r="F292" s="275"/>
      <c r="G292" s="275"/>
      <c r="H292" s="275"/>
      <c r="I292" s="275"/>
      <c r="J292" s="275"/>
      <c r="K292" s="275"/>
      <c r="L292" s="275"/>
      <c r="M292" s="275"/>
    </row>
    <row r="293" spans="2:13" ht="12.75">
      <c r="B293" s="275"/>
      <c r="C293" s="275"/>
      <c r="D293" s="275"/>
      <c r="E293" s="275"/>
      <c r="F293" s="275"/>
      <c r="G293" s="275"/>
      <c r="H293" s="275"/>
      <c r="I293" s="275"/>
      <c r="J293" s="275"/>
      <c r="K293" s="275"/>
      <c r="L293" s="275"/>
      <c r="M293" s="275"/>
    </row>
  </sheetData>
  <sheetProtection/>
  <mergeCells count="339">
    <mergeCell ref="A274:I274"/>
    <mergeCell ref="J57:J58"/>
    <mergeCell ref="J60:J61"/>
    <mergeCell ref="A2:A3"/>
    <mergeCell ref="O29:O30"/>
    <mergeCell ref="N29:N30"/>
    <mergeCell ref="C29:C30"/>
    <mergeCell ref="D29:D30"/>
    <mergeCell ref="E29:E30"/>
    <mergeCell ref="F29:F30"/>
    <mergeCell ref="O260:O261"/>
    <mergeCell ref="N260:N261"/>
    <mergeCell ref="H29:H30"/>
    <mergeCell ref="I29:I30"/>
    <mergeCell ref="N45:N46"/>
    <mergeCell ref="O45:O46"/>
    <mergeCell ref="N53:N54"/>
    <mergeCell ref="O53:O54"/>
    <mergeCell ref="N43:N44"/>
    <mergeCell ref="O43:O44"/>
    <mergeCell ref="O57:O58"/>
    <mergeCell ref="N60:N61"/>
    <mergeCell ref="N57:N58"/>
    <mergeCell ref="N2:N3"/>
    <mergeCell ref="O2:O3"/>
    <mergeCell ref="N4:N6"/>
    <mergeCell ref="O4:O6"/>
    <mergeCell ref="N7:N8"/>
    <mergeCell ref="A43:A44"/>
    <mergeCell ref="B43:B44"/>
    <mergeCell ref="K43:K44"/>
    <mergeCell ref="L43:L44"/>
    <mergeCell ref="N36:N37"/>
    <mergeCell ref="O36:O37"/>
    <mergeCell ref="B29:B30"/>
    <mergeCell ref="K29:K30"/>
    <mergeCell ref="L29:L30"/>
    <mergeCell ref="M29:M30"/>
    <mergeCell ref="O7:O8"/>
    <mergeCell ref="A276:B276"/>
    <mergeCell ref="A36:A37"/>
    <mergeCell ref="B36:B37"/>
    <mergeCell ref="K36:K37"/>
    <mergeCell ref="L36:L37"/>
    <mergeCell ref="L2:L3"/>
    <mergeCell ref="M2:M3"/>
    <mergeCell ref="K7:K8"/>
    <mergeCell ref="L4:L6"/>
    <mergeCell ref="A99:A100"/>
    <mergeCell ref="M4:M6"/>
    <mergeCell ref="A4:A6"/>
    <mergeCell ref="A7:A8"/>
    <mergeCell ref="M36:M37"/>
    <mergeCell ref="A29:A30"/>
    <mergeCell ref="B2:B3"/>
    <mergeCell ref="C2:J2"/>
    <mergeCell ref="B4:B6"/>
    <mergeCell ref="K4:K6"/>
    <mergeCell ref="L7:L8"/>
    <mergeCell ref="M43:M44"/>
    <mergeCell ref="M7:M8"/>
    <mergeCell ref="B7:B8"/>
    <mergeCell ref="G29:G30"/>
    <mergeCell ref="K2:K3"/>
    <mergeCell ref="A45:A46"/>
    <mergeCell ref="B45:B46"/>
    <mergeCell ref="K45:K46"/>
    <mergeCell ref="L45:L46"/>
    <mergeCell ref="M45:M46"/>
    <mergeCell ref="E45:E46"/>
    <mergeCell ref="F45:F46"/>
    <mergeCell ref="A53:A54"/>
    <mergeCell ref="B53:B54"/>
    <mergeCell ref="K53:K54"/>
    <mergeCell ref="L53:L54"/>
    <mergeCell ref="M53:M54"/>
    <mergeCell ref="A57:A58"/>
    <mergeCell ref="B57:B58"/>
    <mergeCell ref="K57:K58"/>
    <mergeCell ref="L57:L58"/>
    <mergeCell ref="E57:E58"/>
    <mergeCell ref="N218:N219"/>
    <mergeCell ref="O218:O219"/>
    <mergeCell ref="M57:M58"/>
    <mergeCell ref="A60:A61"/>
    <mergeCell ref="B60:B61"/>
    <mergeCell ref="K60:K61"/>
    <mergeCell ref="L60:L61"/>
    <mergeCell ref="M60:M61"/>
    <mergeCell ref="O60:O61"/>
    <mergeCell ref="O64:O67"/>
    <mergeCell ref="M107:M108"/>
    <mergeCell ref="N208:N209"/>
    <mergeCell ref="O208:O209"/>
    <mergeCell ref="N210:N211"/>
    <mergeCell ref="O210:O211"/>
    <mergeCell ref="N212:N213"/>
    <mergeCell ref="O212:O213"/>
    <mergeCell ref="O110:O111"/>
    <mergeCell ref="O197:O199"/>
    <mergeCell ref="O190:O193"/>
    <mergeCell ref="A103:A104"/>
    <mergeCell ref="B103:B104"/>
    <mergeCell ref="A107:A108"/>
    <mergeCell ref="B107:B108"/>
    <mergeCell ref="K107:K108"/>
    <mergeCell ref="L107:L108"/>
    <mergeCell ref="A110:A111"/>
    <mergeCell ref="B110:B111"/>
    <mergeCell ref="K110:K111"/>
    <mergeCell ref="L110:L111"/>
    <mergeCell ref="M110:M111"/>
    <mergeCell ref="N197:N199"/>
    <mergeCell ref="A112:A113"/>
    <mergeCell ref="B112:B113"/>
    <mergeCell ref="M112:M113"/>
    <mergeCell ref="A136:A137"/>
    <mergeCell ref="O188:O189"/>
    <mergeCell ref="O175:O176"/>
    <mergeCell ref="O177:O179"/>
    <mergeCell ref="O183:O185"/>
    <mergeCell ref="N190:N193"/>
    <mergeCell ref="N188:N189"/>
    <mergeCell ref="N175:N176"/>
    <mergeCell ref="N177:N179"/>
    <mergeCell ref="N183:N185"/>
    <mergeCell ref="B166:B167"/>
    <mergeCell ref="O168:O169"/>
    <mergeCell ref="O166:O167"/>
    <mergeCell ref="B144:B146"/>
    <mergeCell ref="O136:O137"/>
    <mergeCell ref="N144:N146"/>
    <mergeCell ref="B168:B169"/>
    <mergeCell ref="A149:A150"/>
    <mergeCell ref="B149:B150"/>
    <mergeCell ref="K149:K150"/>
    <mergeCell ref="L151:L152"/>
    <mergeCell ref="M151:M152"/>
    <mergeCell ref="L149:L150"/>
    <mergeCell ref="M149:M150"/>
    <mergeCell ref="A166:A167"/>
    <mergeCell ref="O112:O113"/>
    <mergeCell ref="A151:A152"/>
    <mergeCell ref="B151:B152"/>
    <mergeCell ref="K151:K152"/>
    <mergeCell ref="K158:K160"/>
    <mergeCell ref="L158:L160"/>
    <mergeCell ref="M158:M160"/>
    <mergeCell ref="M144:M146"/>
    <mergeCell ref="A144:A146"/>
    <mergeCell ref="M175:M176"/>
    <mergeCell ref="N149:N150"/>
    <mergeCell ref="N151:N152"/>
    <mergeCell ref="K166:K167"/>
    <mergeCell ref="L166:L167"/>
    <mergeCell ref="M166:M167"/>
    <mergeCell ref="N166:N167"/>
    <mergeCell ref="N158:N160"/>
    <mergeCell ref="K168:K169"/>
    <mergeCell ref="L168:L169"/>
    <mergeCell ref="O116:O121"/>
    <mergeCell ref="B116:B121"/>
    <mergeCell ref="N168:N169"/>
    <mergeCell ref="L116:L121"/>
    <mergeCell ref="L144:L146"/>
    <mergeCell ref="O144:O146"/>
    <mergeCell ref="O149:O150"/>
    <mergeCell ref="O151:O152"/>
    <mergeCell ref="O158:O160"/>
    <mergeCell ref="B136:B137"/>
    <mergeCell ref="N116:N121"/>
    <mergeCell ref="N136:N137"/>
    <mergeCell ref="M116:M121"/>
    <mergeCell ref="M168:M169"/>
    <mergeCell ref="K136:K137"/>
    <mergeCell ref="L136:L137"/>
    <mergeCell ref="M136:M137"/>
    <mergeCell ref="A116:A121"/>
    <mergeCell ref="A183:A185"/>
    <mergeCell ref="B183:B185"/>
    <mergeCell ref="A177:A179"/>
    <mergeCell ref="A175:A176"/>
    <mergeCell ref="B175:B176"/>
    <mergeCell ref="B177:B179"/>
    <mergeCell ref="A168:A169"/>
    <mergeCell ref="A158:A160"/>
    <mergeCell ref="B158:B160"/>
    <mergeCell ref="A188:A189"/>
    <mergeCell ref="B188:B189"/>
    <mergeCell ref="K188:K189"/>
    <mergeCell ref="L188:L189"/>
    <mergeCell ref="M188:M189"/>
    <mergeCell ref="N93:N95"/>
    <mergeCell ref="N103:N104"/>
    <mergeCell ref="K183:K185"/>
    <mergeCell ref="L183:L185"/>
    <mergeCell ref="M183:M185"/>
    <mergeCell ref="B190:B193"/>
    <mergeCell ref="K190:K193"/>
    <mergeCell ref="L190:L193"/>
    <mergeCell ref="M190:M193"/>
    <mergeCell ref="M93:M95"/>
    <mergeCell ref="K103:K104"/>
    <mergeCell ref="L103:L104"/>
    <mergeCell ref="M103:M104"/>
    <mergeCell ref="K116:K121"/>
    <mergeCell ref="M177:M179"/>
    <mergeCell ref="N64:N67"/>
    <mergeCell ref="M82:M84"/>
    <mergeCell ref="N82:N84"/>
    <mergeCell ref="K93:K95"/>
    <mergeCell ref="L93:L95"/>
    <mergeCell ref="K177:K179"/>
    <mergeCell ref="L177:L179"/>
    <mergeCell ref="K99:K100"/>
    <mergeCell ref="L99:L100"/>
    <mergeCell ref="M99:M100"/>
    <mergeCell ref="K82:K84"/>
    <mergeCell ref="L82:L84"/>
    <mergeCell ref="K112:K113"/>
    <mergeCell ref="L112:L113"/>
    <mergeCell ref="K197:K199"/>
    <mergeCell ref="L197:L199"/>
    <mergeCell ref="K175:K176"/>
    <mergeCell ref="L175:L176"/>
    <mergeCell ref="K144:K146"/>
    <mergeCell ref="A208:A209"/>
    <mergeCell ref="B208:B209"/>
    <mergeCell ref="K208:K209"/>
    <mergeCell ref="L208:L209"/>
    <mergeCell ref="M208:M209"/>
    <mergeCell ref="N107:N108"/>
    <mergeCell ref="N110:N111"/>
    <mergeCell ref="N112:N113"/>
    <mergeCell ref="M197:M199"/>
    <mergeCell ref="A190:A193"/>
    <mergeCell ref="A210:A211"/>
    <mergeCell ref="B210:B211"/>
    <mergeCell ref="K210:K211"/>
    <mergeCell ref="L210:L211"/>
    <mergeCell ref="M210:M211"/>
    <mergeCell ref="N99:N100"/>
    <mergeCell ref="F107:F108"/>
    <mergeCell ref="G107:G108"/>
    <mergeCell ref="H107:H108"/>
    <mergeCell ref="I107:I108"/>
    <mergeCell ref="A218:A219"/>
    <mergeCell ref="B218:B219"/>
    <mergeCell ref="K218:K219"/>
    <mergeCell ref="L218:L219"/>
    <mergeCell ref="M218:M219"/>
    <mergeCell ref="K212:K213"/>
    <mergeCell ref="L212:L213"/>
    <mergeCell ref="M212:M213"/>
    <mergeCell ref="H99:H100"/>
    <mergeCell ref="I99:I100"/>
    <mergeCell ref="C107:C108"/>
    <mergeCell ref="D107:D108"/>
    <mergeCell ref="E107:E108"/>
    <mergeCell ref="A212:A213"/>
    <mergeCell ref="B212:B213"/>
    <mergeCell ref="A197:A199"/>
    <mergeCell ref="B197:B199"/>
    <mergeCell ref="C99:C100"/>
    <mergeCell ref="D99:D100"/>
    <mergeCell ref="B99:B100"/>
    <mergeCell ref="E99:E100"/>
    <mergeCell ref="F99:F100"/>
    <mergeCell ref="G99:G100"/>
    <mergeCell ref="A64:A67"/>
    <mergeCell ref="B64:B67"/>
    <mergeCell ref="A80:A81"/>
    <mergeCell ref="B80:B81"/>
    <mergeCell ref="K80:K81"/>
    <mergeCell ref="L80:L81"/>
    <mergeCell ref="M80:M81"/>
    <mergeCell ref="N80:N81"/>
    <mergeCell ref="H60:H61"/>
    <mergeCell ref="D57:D58"/>
    <mergeCell ref="F57:F58"/>
    <mergeCell ref="G57:G58"/>
    <mergeCell ref="H57:H58"/>
    <mergeCell ref="I57:I58"/>
    <mergeCell ref="M74:M77"/>
    <mergeCell ref="E60:E61"/>
    <mergeCell ref="F60:F61"/>
    <mergeCell ref="G60:G61"/>
    <mergeCell ref="I60:I61"/>
    <mergeCell ref="H45:H46"/>
    <mergeCell ref="K64:K67"/>
    <mergeCell ref="L64:L67"/>
    <mergeCell ref="M64:M67"/>
    <mergeCell ref="A260:A261"/>
    <mergeCell ref="B260:B261"/>
    <mergeCell ref="K260:K261"/>
    <mergeCell ref="L260:L261"/>
    <mergeCell ref="M260:M261"/>
    <mergeCell ref="G53:G54"/>
    <mergeCell ref="H53:H54"/>
    <mergeCell ref="I53:I54"/>
    <mergeCell ref="C57:C58"/>
    <mergeCell ref="C60:C61"/>
    <mergeCell ref="D60:D61"/>
    <mergeCell ref="I45:I46"/>
    <mergeCell ref="C53:C54"/>
    <mergeCell ref="D53:D54"/>
    <mergeCell ref="E53:E54"/>
    <mergeCell ref="F53:F54"/>
    <mergeCell ref="C45:C46"/>
    <mergeCell ref="D45:D46"/>
    <mergeCell ref="G45:G46"/>
    <mergeCell ref="O103:O104"/>
    <mergeCell ref="O107:O108"/>
    <mergeCell ref="A74:A77"/>
    <mergeCell ref="B74:B77"/>
    <mergeCell ref="K74:K77"/>
    <mergeCell ref="L74:L77"/>
    <mergeCell ref="A82:A84"/>
    <mergeCell ref="B82:B84"/>
    <mergeCell ref="A93:A95"/>
    <mergeCell ref="B93:B95"/>
    <mergeCell ref="O74:O77"/>
    <mergeCell ref="O80:O81"/>
    <mergeCell ref="J45:J46"/>
    <mergeCell ref="J53:J54"/>
    <mergeCell ref="J99:J100"/>
    <mergeCell ref="J107:J108"/>
    <mergeCell ref="N74:N77"/>
    <mergeCell ref="O82:O84"/>
    <mergeCell ref="O93:O95"/>
    <mergeCell ref="O99:O100"/>
    <mergeCell ref="M233:M235"/>
    <mergeCell ref="N233:N235"/>
    <mergeCell ref="O233:O235"/>
    <mergeCell ref="A233:A235"/>
    <mergeCell ref="B233:B235"/>
    <mergeCell ref="D233:D235"/>
    <mergeCell ref="K233:K235"/>
    <mergeCell ref="L233:L235"/>
  </mergeCells>
  <printOptions/>
  <pageMargins left="0.7" right="0.7" top="0.75" bottom="0.75" header="0.3" footer="0.3"/>
  <pageSetup fitToHeight="0" fitToWidth="1" horizontalDpi="600" verticalDpi="600" orientation="landscape" paperSize="9" scale="1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35"/>
  <sheetViews>
    <sheetView zoomScale="80" zoomScaleNormal="80" zoomScalePageLayoutView="0" workbookViewId="0" topLeftCell="A1">
      <pane ySplit="3" topLeftCell="A22" activePane="bottomLeft" state="frozen"/>
      <selection pane="topLeft" activeCell="A1" sqref="A1"/>
      <selection pane="bottomLeft" activeCell="F28" sqref="F28"/>
    </sheetView>
  </sheetViews>
  <sheetFormatPr defaultColWidth="9.140625" defaultRowHeight="12.75"/>
  <cols>
    <col min="1" max="1" width="11.140625" style="181" customWidth="1"/>
    <col min="2" max="2" width="44.140625" style="181" customWidth="1"/>
    <col min="3" max="6" width="17.140625" style="181" bestFit="1" customWidth="1"/>
    <col min="7" max="8" width="16.00390625" style="181" bestFit="1" customWidth="1"/>
    <col min="9" max="9" width="18.8515625" style="157" bestFit="1" customWidth="1"/>
    <col min="10" max="12" width="16.00390625" style="181" bestFit="1" customWidth="1"/>
    <col min="13" max="13" width="17.140625" style="181" bestFit="1" customWidth="1"/>
    <col min="14" max="15" width="16.00390625" style="181" bestFit="1" customWidth="1"/>
    <col min="16" max="16" width="17.140625" style="180" bestFit="1" customWidth="1"/>
    <col min="17" max="16384" width="9.140625" style="181" customWidth="1"/>
  </cols>
  <sheetData>
    <row r="1" spans="1:2" ht="53.25" customHeight="1" thickBot="1">
      <c r="A1" s="179" t="s">
        <v>83</v>
      </c>
      <c r="B1" s="180"/>
    </row>
    <row r="2" spans="1:16" ht="36" customHeight="1">
      <c r="A2" s="907" t="s">
        <v>78</v>
      </c>
      <c r="B2" s="905" t="s">
        <v>74</v>
      </c>
      <c r="C2" s="902" t="s">
        <v>660</v>
      </c>
      <c r="D2" s="903"/>
      <c r="E2" s="903"/>
      <c r="F2" s="903"/>
      <c r="G2" s="903"/>
      <c r="H2" s="903"/>
      <c r="I2" s="904"/>
      <c r="J2" s="902" t="s">
        <v>638</v>
      </c>
      <c r="K2" s="903"/>
      <c r="L2" s="903"/>
      <c r="M2" s="903"/>
      <c r="N2" s="903"/>
      <c r="O2" s="903"/>
      <c r="P2" s="904"/>
    </row>
    <row r="3" spans="1:16" ht="58.5" customHeight="1" thickBot="1">
      <c r="A3" s="908"/>
      <c r="B3" s="906"/>
      <c r="C3" s="155" t="s">
        <v>3</v>
      </c>
      <c r="D3" s="156" t="s">
        <v>4</v>
      </c>
      <c r="E3" s="156" t="s">
        <v>5</v>
      </c>
      <c r="F3" s="156" t="s">
        <v>0</v>
      </c>
      <c r="G3" s="156" t="s">
        <v>1</v>
      </c>
      <c r="H3" s="156" t="s">
        <v>95</v>
      </c>
      <c r="I3" s="156" t="s">
        <v>6</v>
      </c>
      <c r="J3" s="155" t="s">
        <v>3</v>
      </c>
      <c r="K3" s="156" t="s">
        <v>4</v>
      </c>
      <c r="L3" s="156" t="s">
        <v>5</v>
      </c>
      <c r="M3" s="156" t="s">
        <v>0</v>
      </c>
      <c r="N3" s="156" t="s">
        <v>1</v>
      </c>
      <c r="O3" s="156" t="s">
        <v>95</v>
      </c>
      <c r="P3" s="182" t="s">
        <v>6</v>
      </c>
    </row>
    <row r="4" spans="1:16" s="180" customFormat="1" ht="29.25" customHeight="1" thickBot="1">
      <c r="A4" s="183" t="s">
        <v>71</v>
      </c>
      <c r="B4" s="184" t="s">
        <v>118</v>
      </c>
      <c r="C4" s="185">
        <f aca="true" t="shared" si="0" ref="C4:P4">SUM(C5+C26+C32+C38+C64)</f>
        <v>20644154.940500002</v>
      </c>
      <c r="D4" s="185">
        <f t="shared" si="0"/>
        <v>20926240.4128</v>
      </c>
      <c r="E4" s="185">
        <f t="shared" si="0"/>
        <v>9243955.0002</v>
      </c>
      <c r="F4" s="185">
        <f t="shared" si="0"/>
        <v>123544289.2765</v>
      </c>
      <c r="G4" s="185">
        <f t="shared" si="0"/>
        <v>446000</v>
      </c>
      <c r="H4" s="185">
        <f t="shared" si="0"/>
        <v>4223096</v>
      </c>
      <c r="I4" s="185">
        <f t="shared" si="0"/>
        <v>179027735.63</v>
      </c>
      <c r="J4" s="185">
        <f t="shared" si="0"/>
        <v>3691286.6160999998</v>
      </c>
      <c r="K4" s="185">
        <f t="shared" si="0"/>
        <v>5754479.2605</v>
      </c>
      <c r="L4" s="185">
        <f t="shared" si="0"/>
        <v>1161963.3334</v>
      </c>
      <c r="M4" s="185">
        <f t="shared" si="0"/>
        <v>16427415.700000003</v>
      </c>
      <c r="N4" s="185">
        <f t="shared" si="0"/>
        <v>111500</v>
      </c>
      <c r="O4" s="185">
        <f t="shared" si="0"/>
        <v>911532</v>
      </c>
      <c r="P4" s="186">
        <f t="shared" si="0"/>
        <v>47492189.96000001</v>
      </c>
    </row>
    <row r="5" spans="1:39" s="153" customFormat="1" ht="26.25" thickBot="1">
      <c r="A5" s="187" t="s">
        <v>639</v>
      </c>
      <c r="B5" s="188" t="s">
        <v>119</v>
      </c>
      <c r="C5" s="189">
        <f aca="true" t="shared" si="1" ref="C5:H5">SUM(C6+C9+C12+C17+C21+C24)</f>
        <v>1337083.93</v>
      </c>
      <c r="D5" s="189">
        <f t="shared" si="1"/>
        <v>11172140.74</v>
      </c>
      <c r="E5" s="189">
        <f t="shared" si="1"/>
        <v>4606350</v>
      </c>
      <c r="F5" s="189">
        <f t="shared" si="1"/>
        <v>39079933.83</v>
      </c>
      <c r="G5" s="189">
        <f t="shared" si="1"/>
        <v>0</v>
      </c>
      <c r="H5" s="189">
        <f t="shared" si="1"/>
        <v>2537000</v>
      </c>
      <c r="I5" s="189">
        <f>SUM(I6+I9+I12+I17+I21+I24)</f>
        <v>58732508.5</v>
      </c>
      <c r="J5" s="189">
        <f aca="true" t="shared" si="2" ref="J5:O5">SUM(J6+J9+J17+J21+J24)</f>
        <v>146210</v>
      </c>
      <c r="K5" s="189">
        <f t="shared" si="2"/>
        <v>2792762.84</v>
      </c>
      <c r="L5" s="189">
        <f t="shared" si="2"/>
        <v>0</v>
      </c>
      <c r="M5" s="189">
        <f t="shared" si="2"/>
        <v>92996.8</v>
      </c>
      <c r="N5" s="189">
        <f t="shared" si="2"/>
        <v>0</v>
      </c>
      <c r="O5" s="189">
        <f t="shared" si="2"/>
        <v>493500</v>
      </c>
      <c r="P5" s="186">
        <f>SUM(P6+P9+P12+P17+P21+P24)</f>
        <v>22959482.69</v>
      </c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</row>
    <row r="6" spans="1:16" ht="29.25" customHeight="1" thickBot="1">
      <c r="A6" s="190" t="s">
        <v>121</v>
      </c>
      <c r="B6" s="191" t="s">
        <v>120</v>
      </c>
      <c r="C6" s="192">
        <f>SUM(C7:C8)</f>
        <v>713000</v>
      </c>
      <c r="D6" s="192">
        <f aca="true" t="shared" si="3" ref="D6:I6">SUM(D7:D8)</f>
        <v>8682662</v>
      </c>
      <c r="E6" s="192">
        <f t="shared" si="3"/>
        <v>0</v>
      </c>
      <c r="F6" s="192">
        <f t="shared" si="3"/>
        <v>0</v>
      </c>
      <c r="G6" s="192">
        <f t="shared" si="3"/>
        <v>0</v>
      </c>
      <c r="H6" s="192">
        <f t="shared" si="3"/>
        <v>0</v>
      </c>
      <c r="I6" s="192">
        <f t="shared" si="3"/>
        <v>9395662</v>
      </c>
      <c r="J6" s="192">
        <f aca="true" t="shared" si="4" ref="J6:P6">SUM(J7:J8)</f>
        <v>39700</v>
      </c>
      <c r="K6" s="192">
        <f t="shared" si="4"/>
        <v>2299264</v>
      </c>
      <c r="L6" s="192">
        <f t="shared" si="4"/>
        <v>0</v>
      </c>
      <c r="M6" s="192">
        <f t="shared" si="4"/>
        <v>0</v>
      </c>
      <c r="N6" s="192">
        <f t="shared" si="4"/>
        <v>0</v>
      </c>
      <c r="O6" s="192">
        <f t="shared" si="4"/>
        <v>0</v>
      </c>
      <c r="P6" s="186">
        <f t="shared" si="4"/>
        <v>2338964</v>
      </c>
    </row>
    <row r="7" spans="1:16" ht="26.25" thickBot="1">
      <c r="A7" s="193"/>
      <c r="B7" s="193" t="s">
        <v>303</v>
      </c>
      <c r="C7" s="194">
        <v>500000</v>
      </c>
      <c r="D7" s="194">
        <f>9800000-2300000</f>
        <v>7500000</v>
      </c>
      <c r="E7" s="194">
        <v>0</v>
      </c>
      <c r="F7" s="194">
        <v>0</v>
      </c>
      <c r="G7" s="194">
        <v>0</v>
      </c>
      <c r="H7" s="194">
        <v>0</v>
      </c>
      <c r="I7" s="195">
        <f>C7+D7</f>
        <v>8000000</v>
      </c>
      <c r="J7" s="194">
        <v>0</v>
      </c>
      <c r="K7" s="194">
        <v>2000000</v>
      </c>
      <c r="L7" s="194">
        <v>0</v>
      </c>
      <c r="M7" s="194">
        <v>0</v>
      </c>
      <c r="N7" s="194">
        <v>0</v>
      </c>
      <c r="O7" s="194">
        <v>0</v>
      </c>
      <c r="P7" s="186">
        <f>SUM(J7:O7)</f>
        <v>2000000</v>
      </c>
    </row>
    <row r="8" spans="1:16" ht="64.5" thickBot="1">
      <c r="A8" s="193"/>
      <c r="B8" s="193" t="s">
        <v>814</v>
      </c>
      <c r="C8" s="194">
        <v>213000</v>
      </c>
      <c r="D8" s="194">
        <v>1182662</v>
      </c>
      <c r="E8" s="194">
        <v>0</v>
      </c>
      <c r="F8" s="194">
        <v>0</v>
      </c>
      <c r="G8" s="194">
        <v>0</v>
      </c>
      <c r="H8" s="194">
        <v>0</v>
      </c>
      <c r="I8" s="195">
        <f>C8+D8+F8</f>
        <v>1395662</v>
      </c>
      <c r="J8" s="194">
        <v>39700</v>
      </c>
      <c r="K8" s="194">
        <v>299264</v>
      </c>
      <c r="L8" s="194">
        <v>0</v>
      </c>
      <c r="M8" s="194">
        <v>0</v>
      </c>
      <c r="N8" s="194">
        <v>0</v>
      </c>
      <c r="O8" s="194">
        <v>0</v>
      </c>
      <c r="P8" s="186">
        <f>SUM(J8:N8)</f>
        <v>338964</v>
      </c>
    </row>
    <row r="9" spans="1:16" ht="19.5" customHeight="1" thickBot="1">
      <c r="A9" s="196" t="s">
        <v>122</v>
      </c>
      <c r="B9" s="196" t="s">
        <v>134</v>
      </c>
      <c r="C9" s="192">
        <f>SUM(C10:C11)</f>
        <v>331460</v>
      </c>
      <c r="D9" s="192">
        <f aca="true" t="shared" si="5" ref="D9:P9">SUM(D10:D11)</f>
        <v>398357</v>
      </c>
      <c r="E9" s="192">
        <f t="shared" si="5"/>
        <v>0</v>
      </c>
      <c r="F9" s="192">
        <f t="shared" si="5"/>
        <v>255983</v>
      </c>
      <c r="G9" s="192">
        <f t="shared" si="5"/>
        <v>0</v>
      </c>
      <c r="H9" s="192">
        <f t="shared" si="5"/>
        <v>0</v>
      </c>
      <c r="I9" s="192">
        <f t="shared" si="5"/>
        <v>985800</v>
      </c>
      <c r="J9" s="192">
        <f t="shared" si="5"/>
        <v>88810</v>
      </c>
      <c r="K9" s="192">
        <f t="shared" si="5"/>
        <v>93550</v>
      </c>
      <c r="L9" s="192">
        <f t="shared" si="5"/>
        <v>0</v>
      </c>
      <c r="M9" s="192">
        <f t="shared" si="5"/>
        <v>64090</v>
      </c>
      <c r="N9" s="192">
        <f t="shared" si="5"/>
        <v>0</v>
      </c>
      <c r="O9" s="192">
        <f t="shared" si="5"/>
        <v>0</v>
      </c>
      <c r="P9" s="186">
        <f t="shared" si="5"/>
        <v>246450</v>
      </c>
    </row>
    <row r="10" spans="1:16" ht="39" thickBot="1">
      <c r="A10" s="193"/>
      <c r="B10" s="193" t="s">
        <v>305</v>
      </c>
      <c r="C10" s="194">
        <f>(77500*5)-101475</f>
        <v>286025</v>
      </c>
      <c r="D10" s="194">
        <f>(57800*5)-33825</f>
        <v>255175</v>
      </c>
      <c r="E10" s="194">
        <v>0</v>
      </c>
      <c r="F10" s="194">
        <v>0</v>
      </c>
      <c r="G10" s="194">
        <v>0</v>
      </c>
      <c r="H10" s="194">
        <v>0</v>
      </c>
      <c r="I10" s="195">
        <f>SUM(C10:H10)</f>
        <v>541200</v>
      </c>
      <c r="J10" s="194">
        <v>77500</v>
      </c>
      <c r="K10" s="194">
        <v>57800</v>
      </c>
      <c r="L10" s="194">
        <v>0</v>
      </c>
      <c r="M10" s="194">
        <v>0</v>
      </c>
      <c r="N10" s="194">
        <v>0</v>
      </c>
      <c r="O10" s="194">
        <v>0</v>
      </c>
      <c r="P10" s="186">
        <f>SUM(J10:O10)</f>
        <v>135300</v>
      </c>
    </row>
    <row r="11" spans="1:16" ht="64.5" thickBot="1">
      <c r="A11" s="193"/>
      <c r="B11" s="197" t="s">
        <v>306</v>
      </c>
      <c r="C11" s="198">
        <f>(377000*0.15)-11115</f>
        <v>45435</v>
      </c>
      <c r="D11" s="198">
        <f>178750-35568</f>
        <v>143182</v>
      </c>
      <c r="E11" s="198">
        <v>0</v>
      </c>
      <c r="F11" s="198">
        <f>(377000*0.85)-64467</f>
        <v>255983</v>
      </c>
      <c r="G11" s="198">
        <v>0</v>
      </c>
      <c r="H11" s="198">
        <v>0</v>
      </c>
      <c r="I11" s="195">
        <f aca="true" t="shared" si="6" ref="I11:I48">SUM(C11:H11)</f>
        <v>444600</v>
      </c>
      <c r="J11" s="198">
        <f>75400*0.15</f>
        <v>11310</v>
      </c>
      <c r="K11" s="198">
        <v>35750</v>
      </c>
      <c r="L11" s="198">
        <v>0</v>
      </c>
      <c r="M11" s="198">
        <f>75400*0.85</f>
        <v>64090</v>
      </c>
      <c r="N11" s="198">
        <v>0</v>
      </c>
      <c r="O11" s="198">
        <v>0</v>
      </c>
      <c r="P11" s="186">
        <f aca="true" t="shared" si="7" ref="P11:P48">SUM(J11:O11)</f>
        <v>111150</v>
      </c>
    </row>
    <row r="12" spans="1:16" ht="32.25" customHeight="1" thickBot="1">
      <c r="A12" s="199" t="s">
        <v>123</v>
      </c>
      <c r="B12" s="200" t="s">
        <v>246</v>
      </c>
      <c r="C12" s="192">
        <f aca="true" t="shared" si="8" ref="C12:H12">SUM(C13:C16)</f>
        <v>70484.13</v>
      </c>
      <c r="D12" s="192">
        <f t="shared" si="8"/>
        <v>1215339.83</v>
      </c>
      <c r="E12" s="192">
        <f t="shared" si="8"/>
        <v>4606350</v>
      </c>
      <c r="F12" s="192">
        <f t="shared" si="8"/>
        <v>37761650</v>
      </c>
      <c r="G12" s="192">
        <f t="shared" si="8"/>
        <v>0</v>
      </c>
      <c r="H12" s="192">
        <f t="shared" si="8"/>
        <v>0</v>
      </c>
      <c r="I12" s="192">
        <f t="shared" si="6"/>
        <v>43653823.96</v>
      </c>
      <c r="J12" s="192">
        <f aca="true" t="shared" si="9" ref="J12:O12">SUM(J13:J16)</f>
        <v>17500</v>
      </c>
      <c r="K12" s="192">
        <f t="shared" si="9"/>
        <v>303513.05</v>
      </c>
      <c r="L12" s="192">
        <f t="shared" si="9"/>
        <v>1118100</v>
      </c>
      <c r="M12" s="192">
        <f t="shared" si="9"/>
        <v>17994900</v>
      </c>
      <c r="N12" s="192">
        <f t="shared" si="9"/>
        <v>0</v>
      </c>
      <c r="O12" s="192">
        <f t="shared" si="9"/>
        <v>0</v>
      </c>
      <c r="P12" s="186">
        <f t="shared" si="7"/>
        <v>19434013.05</v>
      </c>
    </row>
    <row r="13" spans="1:16" ht="80.25" customHeight="1" thickBot="1">
      <c r="A13" s="193"/>
      <c r="B13" s="193" t="s">
        <v>322</v>
      </c>
      <c r="C13" s="194">
        <v>0</v>
      </c>
      <c r="D13" s="194">
        <v>0</v>
      </c>
      <c r="E13" s="194">
        <f>6631950-2025600</f>
        <v>4606350</v>
      </c>
      <c r="F13" s="198">
        <f>(44213000*0.85)-11478400</f>
        <v>26102650</v>
      </c>
      <c r="G13" s="194">
        <v>0</v>
      </c>
      <c r="H13" s="194">
        <v>0</v>
      </c>
      <c r="I13" s="195">
        <f t="shared" si="6"/>
        <v>30709000</v>
      </c>
      <c r="J13" s="194">
        <v>0</v>
      </c>
      <c r="K13" s="194">
        <v>0</v>
      </c>
      <c r="L13" s="194">
        <f>7454000*0.15</f>
        <v>1118100</v>
      </c>
      <c r="M13" s="194">
        <f>7454000*0.85</f>
        <v>6335900</v>
      </c>
      <c r="N13" s="194">
        <v>0</v>
      </c>
      <c r="O13" s="194">
        <v>0</v>
      </c>
      <c r="P13" s="186">
        <f t="shared" si="7"/>
        <v>7454000</v>
      </c>
    </row>
    <row r="14" spans="1:16" ht="39" thickBot="1">
      <c r="A14" s="193"/>
      <c r="B14" s="193" t="s">
        <v>308</v>
      </c>
      <c r="C14" s="194">
        <f>17500-3425.87</f>
        <v>14074.130000000001</v>
      </c>
      <c r="D14" s="194">
        <f>230064.96-45515.13</f>
        <v>184549.83</v>
      </c>
      <c r="E14" s="194">
        <v>0</v>
      </c>
      <c r="F14" s="194">
        <v>0</v>
      </c>
      <c r="G14" s="194">
        <v>0</v>
      </c>
      <c r="H14" s="194">
        <v>0</v>
      </c>
      <c r="I14" s="195">
        <f t="shared" si="6"/>
        <v>198623.96</v>
      </c>
      <c r="J14" s="194">
        <v>3500</v>
      </c>
      <c r="K14" s="194">
        <v>45713.05</v>
      </c>
      <c r="L14" s="194">
        <v>0</v>
      </c>
      <c r="M14" s="194">
        <v>0</v>
      </c>
      <c r="N14" s="194">
        <v>0</v>
      </c>
      <c r="O14" s="194">
        <v>0</v>
      </c>
      <c r="P14" s="186">
        <f t="shared" si="7"/>
        <v>49213.05</v>
      </c>
    </row>
    <row r="15" spans="1:16" ht="39" thickBot="1">
      <c r="A15" s="193"/>
      <c r="B15" s="193" t="s">
        <v>309</v>
      </c>
      <c r="C15" s="194">
        <f>70000-13590</f>
        <v>56410</v>
      </c>
      <c r="D15" s="194">
        <f>1289000-258210</f>
        <v>1030790</v>
      </c>
      <c r="E15" s="194">
        <v>0</v>
      </c>
      <c r="F15" s="194">
        <v>0</v>
      </c>
      <c r="G15" s="194">
        <v>0</v>
      </c>
      <c r="H15" s="194">
        <v>0</v>
      </c>
      <c r="I15" s="195">
        <f t="shared" si="6"/>
        <v>1087200</v>
      </c>
      <c r="J15" s="194">
        <v>14000</v>
      </c>
      <c r="K15" s="194">
        <v>257800</v>
      </c>
      <c r="L15" s="194">
        <v>0</v>
      </c>
      <c r="M15" s="194">
        <v>0</v>
      </c>
      <c r="N15" s="194">
        <v>0</v>
      </c>
      <c r="O15" s="194">
        <v>0</v>
      </c>
      <c r="P15" s="186">
        <f t="shared" si="7"/>
        <v>271800</v>
      </c>
    </row>
    <row r="16" spans="1:16" ht="26.25" thickBot="1">
      <c r="A16" s="193"/>
      <c r="B16" s="193" t="s">
        <v>310</v>
      </c>
      <c r="C16" s="194">
        <v>0</v>
      </c>
      <c r="D16" s="194">
        <v>0</v>
      </c>
      <c r="E16" s="194">
        <v>0</v>
      </c>
      <c r="F16" s="198">
        <v>11659000</v>
      </c>
      <c r="G16" s="194">
        <v>0</v>
      </c>
      <c r="H16" s="194">
        <v>0</v>
      </c>
      <c r="I16" s="195">
        <f t="shared" si="6"/>
        <v>11659000</v>
      </c>
      <c r="J16" s="194">
        <v>0</v>
      </c>
      <c r="K16" s="194">
        <v>0</v>
      </c>
      <c r="L16" s="194">
        <v>0</v>
      </c>
      <c r="M16" s="194">
        <v>11659000</v>
      </c>
      <c r="N16" s="194">
        <v>0</v>
      </c>
      <c r="O16" s="194">
        <v>0</v>
      </c>
      <c r="P16" s="186">
        <f t="shared" si="7"/>
        <v>11659000</v>
      </c>
    </row>
    <row r="17" spans="1:16" ht="46.5" customHeight="1" thickBot="1">
      <c r="A17" s="199" t="s">
        <v>124</v>
      </c>
      <c r="B17" s="200" t="s">
        <v>136</v>
      </c>
      <c r="C17" s="192">
        <f>SUM(C18:C20)</f>
        <v>222139.8</v>
      </c>
      <c r="D17" s="192">
        <f aca="true" t="shared" si="10" ref="D17:J17">SUM(D18:D20)</f>
        <v>542781.9099999999</v>
      </c>
      <c r="E17" s="192">
        <f t="shared" si="10"/>
        <v>0</v>
      </c>
      <c r="F17" s="192">
        <f t="shared" si="10"/>
        <v>1062300.83</v>
      </c>
      <c r="G17" s="192">
        <f t="shared" si="10"/>
        <v>0</v>
      </c>
      <c r="H17" s="192">
        <f t="shared" si="10"/>
        <v>0</v>
      </c>
      <c r="I17" s="192">
        <f>SUM(C17:H17)</f>
        <v>1827222.54</v>
      </c>
      <c r="J17" s="192">
        <f t="shared" si="10"/>
        <v>17700</v>
      </c>
      <c r="K17" s="192">
        <f>SUM(K18:K20)</f>
        <v>328448.83999999997</v>
      </c>
      <c r="L17" s="192">
        <f>SUM(L18:L20)</f>
        <v>0</v>
      </c>
      <c r="M17" s="192">
        <f>SUM(M18:M20)</f>
        <v>28906.800000000003</v>
      </c>
      <c r="N17" s="192">
        <f>SUM(N18:N20)</f>
        <v>0</v>
      </c>
      <c r="O17" s="192">
        <f>SUM(O18:O20)</f>
        <v>0</v>
      </c>
      <c r="P17" s="186">
        <f t="shared" si="7"/>
        <v>375055.63999999996</v>
      </c>
    </row>
    <row r="18" spans="1:39" s="153" customFormat="1" ht="13.5" thickBot="1">
      <c r="A18" s="193"/>
      <c r="B18" s="193" t="s">
        <v>311</v>
      </c>
      <c r="C18" s="194">
        <f>265500-43360.2</f>
        <v>222139.8</v>
      </c>
      <c r="D18" s="194">
        <f>454236-72267.02+0.19</f>
        <v>381969.17</v>
      </c>
      <c r="E18" s="194">
        <v>0</v>
      </c>
      <c r="F18" s="198">
        <f>(899670*0.2)-28906.81</f>
        <v>151027.19</v>
      </c>
      <c r="G18" s="194">
        <v>0</v>
      </c>
      <c r="H18" s="194">
        <v>0</v>
      </c>
      <c r="I18" s="195">
        <f>SUM(C18:H18)</f>
        <v>755136.1599999999</v>
      </c>
      <c r="J18" s="194">
        <v>17700</v>
      </c>
      <c r="K18" s="194">
        <f>126834.04-M18</f>
        <v>97927.23999999999</v>
      </c>
      <c r="L18" s="194">
        <v>0</v>
      </c>
      <c r="M18" s="194">
        <f>0.2*144534</f>
        <v>28906.800000000003</v>
      </c>
      <c r="N18" s="194">
        <v>0</v>
      </c>
      <c r="O18" s="194">
        <v>0</v>
      </c>
      <c r="P18" s="186">
        <f t="shared" si="7"/>
        <v>144534.03999999998</v>
      </c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</row>
    <row r="19" spans="1:16" ht="26.25" thickBot="1">
      <c r="A19" s="193"/>
      <c r="B19" s="193" t="s">
        <v>312</v>
      </c>
      <c r="C19" s="194">
        <v>0</v>
      </c>
      <c r="D19" s="194">
        <f>172891-34578.26</f>
        <v>138312.74</v>
      </c>
      <c r="E19" s="194">
        <v>0</v>
      </c>
      <c r="F19" s="194">
        <f>979717-195943.36</f>
        <v>783773.64</v>
      </c>
      <c r="G19" s="194">
        <v>0</v>
      </c>
      <c r="H19" s="194">
        <v>0</v>
      </c>
      <c r="I19" s="195">
        <f t="shared" si="6"/>
        <v>922086.38</v>
      </c>
      <c r="J19" s="194">
        <v>0</v>
      </c>
      <c r="K19" s="194">
        <v>230521.6</v>
      </c>
      <c r="L19" s="194">
        <v>0</v>
      </c>
      <c r="M19" s="194">
        <v>0</v>
      </c>
      <c r="N19" s="194">
        <v>0</v>
      </c>
      <c r="O19" s="194">
        <v>0</v>
      </c>
      <c r="P19" s="186">
        <f t="shared" si="7"/>
        <v>230521.6</v>
      </c>
    </row>
    <row r="20" spans="1:16" ht="39" thickBot="1">
      <c r="A20" s="193"/>
      <c r="B20" s="193" t="s">
        <v>313</v>
      </c>
      <c r="C20" s="194">
        <v>0</v>
      </c>
      <c r="D20" s="194">
        <f>150000*0.15</f>
        <v>22500</v>
      </c>
      <c r="E20" s="194">
        <v>0</v>
      </c>
      <c r="F20" s="194">
        <f>150000*0.85</f>
        <v>127500</v>
      </c>
      <c r="G20" s="194">
        <v>0</v>
      </c>
      <c r="H20" s="194">
        <v>0</v>
      </c>
      <c r="I20" s="195">
        <f t="shared" si="6"/>
        <v>150000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86">
        <f t="shared" si="7"/>
        <v>0</v>
      </c>
    </row>
    <row r="21" spans="1:16" ht="26.25" thickBot="1">
      <c r="A21" s="199" t="s">
        <v>125</v>
      </c>
      <c r="B21" s="200" t="s">
        <v>137</v>
      </c>
      <c r="C21" s="192">
        <f>SUM(C22:C23)</f>
        <v>0</v>
      </c>
      <c r="D21" s="192">
        <f aca="true" t="shared" si="11" ref="D21:P21">SUM(D22:D23)</f>
        <v>333000</v>
      </c>
      <c r="E21" s="192">
        <f t="shared" si="11"/>
        <v>0</v>
      </c>
      <c r="F21" s="192">
        <f t="shared" si="11"/>
        <v>0</v>
      </c>
      <c r="G21" s="192">
        <f t="shared" si="11"/>
        <v>0</v>
      </c>
      <c r="H21" s="192">
        <f t="shared" si="11"/>
        <v>437000</v>
      </c>
      <c r="I21" s="192">
        <f t="shared" si="11"/>
        <v>770000</v>
      </c>
      <c r="J21" s="192">
        <f t="shared" si="11"/>
        <v>0</v>
      </c>
      <c r="K21" s="192">
        <f t="shared" si="11"/>
        <v>71500</v>
      </c>
      <c r="L21" s="192">
        <f t="shared" si="11"/>
        <v>0</v>
      </c>
      <c r="M21" s="192">
        <f t="shared" si="11"/>
        <v>0</v>
      </c>
      <c r="N21" s="192">
        <f t="shared" si="11"/>
        <v>0</v>
      </c>
      <c r="O21" s="192">
        <f t="shared" si="11"/>
        <v>93500</v>
      </c>
      <c r="P21" s="186">
        <f t="shared" si="11"/>
        <v>165000</v>
      </c>
    </row>
    <row r="22" spans="1:16" ht="77.25" thickBot="1">
      <c r="A22" s="193"/>
      <c r="B22" s="193" t="s">
        <v>314</v>
      </c>
      <c r="C22" s="198">
        <v>0</v>
      </c>
      <c r="D22" s="194">
        <f>(620000*0.5)-55000</f>
        <v>255000</v>
      </c>
      <c r="E22" s="194">
        <v>0</v>
      </c>
      <c r="F22" s="194">
        <v>0</v>
      </c>
      <c r="G22" s="194">
        <v>0</v>
      </c>
      <c r="H22" s="194">
        <f>(620000*0.5)-55000</f>
        <v>255000</v>
      </c>
      <c r="I22" s="195">
        <f t="shared" si="6"/>
        <v>510000</v>
      </c>
      <c r="J22" s="194">
        <v>0</v>
      </c>
      <c r="K22" s="194">
        <f>110000*0.5</f>
        <v>55000</v>
      </c>
      <c r="L22" s="194">
        <v>0</v>
      </c>
      <c r="M22" s="194">
        <v>0</v>
      </c>
      <c r="N22" s="194">
        <v>0</v>
      </c>
      <c r="O22" s="194">
        <f>110000*0.5</f>
        <v>55000</v>
      </c>
      <c r="P22" s="186">
        <f t="shared" si="7"/>
        <v>110000</v>
      </c>
    </row>
    <row r="23" spans="1:16" ht="26.25" thickBot="1">
      <c r="A23" s="193"/>
      <c r="B23" s="193" t="s">
        <v>315</v>
      </c>
      <c r="C23" s="194">
        <v>0</v>
      </c>
      <c r="D23" s="194">
        <f>(315000*0.3)-16500</f>
        <v>78000</v>
      </c>
      <c r="E23" s="194">
        <v>0</v>
      </c>
      <c r="F23" s="194">
        <v>0</v>
      </c>
      <c r="G23" s="194">
        <v>0</v>
      </c>
      <c r="H23" s="198">
        <f>(315000*0.7)-38500</f>
        <v>182000</v>
      </c>
      <c r="I23" s="195">
        <f t="shared" si="6"/>
        <v>260000</v>
      </c>
      <c r="J23" s="194"/>
      <c r="K23" s="194">
        <f>55000*0.3</f>
        <v>16500</v>
      </c>
      <c r="L23" s="194"/>
      <c r="M23" s="194"/>
      <c r="N23" s="194"/>
      <c r="O23" s="194">
        <f>55000*0.7</f>
        <v>38500</v>
      </c>
      <c r="P23" s="186">
        <f t="shared" si="7"/>
        <v>55000</v>
      </c>
    </row>
    <row r="24" spans="1:16" s="201" customFormat="1" ht="42.75" customHeight="1" thickBot="1">
      <c r="A24" s="199" t="s">
        <v>126</v>
      </c>
      <c r="B24" s="200" t="s">
        <v>138</v>
      </c>
      <c r="C24" s="192">
        <f>SUM(C25)</f>
        <v>0</v>
      </c>
      <c r="D24" s="192">
        <f aca="true" t="shared" si="12" ref="D24:P24">SUM(D25)</f>
        <v>0</v>
      </c>
      <c r="E24" s="192">
        <f t="shared" si="12"/>
        <v>0</v>
      </c>
      <c r="F24" s="192">
        <f t="shared" si="12"/>
        <v>0</v>
      </c>
      <c r="G24" s="192">
        <f t="shared" si="12"/>
        <v>0</v>
      </c>
      <c r="H24" s="192">
        <f t="shared" si="12"/>
        <v>2100000</v>
      </c>
      <c r="I24" s="192">
        <f t="shared" si="12"/>
        <v>2100000</v>
      </c>
      <c r="J24" s="192">
        <f t="shared" si="12"/>
        <v>0</v>
      </c>
      <c r="K24" s="192">
        <f t="shared" si="12"/>
        <v>0</v>
      </c>
      <c r="L24" s="192">
        <f t="shared" si="12"/>
        <v>0</v>
      </c>
      <c r="M24" s="192">
        <f t="shared" si="12"/>
        <v>0</v>
      </c>
      <c r="N24" s="192">
        <f t="shared" si="12"/>
        <v>0</v>
      </c>
      <c r="O24" s="192">
        <f t="shared" si="12"/>
        <v>400000</v>
      </c>
      <c r="P24" s="186">
        <f t="shared" si="12"/>
        <v>400000</v>
      </c>
    </row>
    <row r="25" spans="1:16" s="201" customFormat="1" ht="26.25" thickBot="1">
      <c r="A25" s="193"/>
      <c r="B25" s="193" t="s">
        <v>316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2100000</v>
      </c>
      <c r="I25" s="195">
        <f t="shared" si="6"/>
        <v>2100000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400000</v>
      </c>
      <c r="P25" s="186">
        <f t="shared" si="7"/>
        <v>400000</v>
      </c>
    </row>
    <row r="26" spans="1:16" ht="40.5" customHeight="1" thickBot="1">
      <c r="A26" s="187" t="s">
        <v>640</v>
      </c>
      <c r="B26" s="188" t="s">
        <v>141</v>
      </c>
      <c r="C26" s="189">
        <f aca="true" t="shared" si="13" ref="C26:H26">SUM(C27+C30)</f>
        <v>7736849.292</v>
      </c>
      <c r="D26" s="189">
        <f t="shared" si="13"/>
        <v>25735.05</v>
      </c>
      <c r="E26" s="189">
        <f t="shared" si="13"/>
        <v>0</v>
      </c>
      <c r="F26" s="189">
        <f t="shared" si="13"/>
        <v>39733289.067999996</v>
      </c>
      <c r="G26" s="189">
        <f t="shared" si="13"/>
        <v>0</v>
      </c>
      <c r="H26" s="189">
        <f t="shared" si="13"/>
        <v>0</v>
      </c>
      <c r="I26" s="189">
        <f t="shared" si="6"/>
        <v>47495873.41</v>
      </c>
      <c r="J26" s="189">
        <f aca="true" t="shared" si="14" ref="J26:O26">SUM(J27+J30)</f>
        <v>823302.701</v>
      </c>
      <c r="K26" s="189">
        <f t="shared" si="14"/>
        <v>6500</v>
      </c>
      <c r="L26" s="189">
        <f t="shared" si="14"/>
        <v>0</v>
      </c>
      <c r="M26" s="189">
        <f t="shared" si="14"/>
        <v>4734048.079000001</v>
      </c>
      <c r="N26" s="189">
        <f t="shared" si="14"/>
        <v>0</v>
      </c>
      <c r="O26" s="189">
        <f t="shared" si="14"/>
        <v>0</v>
      </c>
      <c r="P26" s="186">
        <f>SUM(J26:O26)</f>
        <v>5563850.780000001</v>
      </c>
    </row>
    <row r="27" spans="1:16" ht="33.75" customHeight="1" thickBot="1">
      <c r="A27" s="190" t="s">
        <v>127</v>
      </c>
      <c r="B27" s="191" t="s">
        <v>139</v>
      </c>
      <c r="C27" s="192">
        <f aca="true" t="shared" si="15" ref="C27:P27">SUM(C28:C29)</f>
        <v>7736849.292</v>
      </c>
      <c r="D27" s="192">
        <f t="shared" si="15"/>
        <v>0</v>
      </c>
      <c r="E27" s="192">
        <f t="shared" si="15"/>
        <v>0</v>
      </c>
      <c r="F27" s="192">
        <f t="shared" si="15"/>
        <v>39458359.677999996</v>
      </c>
      <c r="G27" s="192">
        <f t="shared" si="15"/>
        <v>0</v>
      </c>
      <c r="H27" s="192">
        <f t="shared" si="15"/>
        <v>0</v>
      </c>
      <c r="I27" s="192">
        <f t="shared" si="15"/>
        <v>47195208.97</v>
      </c>
      <c r="J27" s="192">
        <f t="shared" si="15"/>
        <v>823302.701</v>
      </c>
      <c r="K27" s="192">
        <f t="shared" si="15"/>
        <v>0</v>
      </c>
      <c r="L27" s="192">
        <f t="shared" si="15"/>
        <v>0</v>
      </c>
      <c r="M27" s="192">
        <f t="shared" si="15"/>
        <v>4665381.9690000005</v>
      </c>
      <c r="N27" s="192">
        <f t="shared" si="15"/>
        <v>0</v>
      </c>
      <c r="O27" s="192">
        <f t="shared" si="15"/>
        <v>0</v>
      </c>
      <c r="P27" s="186">
        <f t="shared" si="15"/>
        <v>5488684.67</v>
      </c>
    </row>
    <row r="28" spans="1:16" ht="56.25" customHeight="1" thickBot="1">
      <c r="A28" s="193"/>
      <c r="B28" s="715" t="s">
        <v>811</v>
      </c>
      <c r="C28" s="194">
        <v>1797385.722</v>
      </c>
      <c r="D28" s="194">
        <v>0</v>
      </c>
      <c r="E28" s="194">
        <v>0</v>
      </c>
      <c r="F28" s="194">
        <v>10185185.758</v>
      </c>
      <c r="G28" s="194">
        <v>0</v>
      </c>
      <c r="H28" s="194">
        <v>0</v>
      </c>
      <c r="I28" s="195">
        <f t="shared" si="6"/>
        <v>11982571.48</v>
      </c>
      <c r="J28" s="194">
        <v>17995.401</v>
      </c>
      <c r="K28" s="194">
        <v>0</v>
      </c>
      <c r="L28" s="194">
        <v>0</v>
      </c>
      <c r="M28" s="194">
        <v>101973.939</v>
      </c>
      <c r="N28" s="194">
        <v>0</v>
      </c>
      <c r="O28" s="194">
        <v>0</v>
      </c>
      <c r="P28" s="186">
        <f t="shared" si="7"/>
        <v>119969.34</v>
      </c>
    </row>
    <row r="29" spans="1:16" ht="51.75" thickBot="1">
      <c r="A29" s="193"/>
      <c r="B29" s="193" t="s">
        <v>317</v>
      </c>
      <c r="C29" s="194">
        <f>6074145.62-134682.05</f>
        <v>5939463.57</v>
      </c>
      <c r="D29" s="194">
        <v>0</v>
      </c>
      <c r="E29" s="194">
        <v>0</v>
      </c>
      <c r="F29" s="202">
        <f>29930741.86-657567.05-0.89</f>
        <v>29273173.919999998</v>
      </c>
      <c r="G29" s="194">
        <v>0</v>
      </c>
      <c r="H29" s="194">
        <v>0</v>
      </c>
      <c r="I29" s="195">
        <f t="shared" si="6"/>
        <v>35212637.489999995</v>
      </c>
      <c r="J29" s="194">
        <v>805307.3</v>
      </c>
      <c r="K29" s="194">
        <v>0</v>
      </c>
      <c r="L29" s="194">
        <v>0</v>
      </c>
      <c r="M29" s="194">
        <v>4563408.03</v>
      </c>
      <c r="N29" s="194">
        <v>0</v>
      </c>
      <c r="O29" s="194">
        <v>0</v>
      </c>
      <c r="P29" s="186">
        <f t="shared" si="7"/>
        <v>5368715.33</v>
      </c>
    </row>
    <row r="30" spans="1:16" ht="39" thickBot="1">
      <c r="A30" s="196" t="s">
        <v>130</v>
      </c>
      <c r="B30" s="196" t="s">
        <v>247</v>
      </c>
      <c r="C30" s="192">
        <f>SUM(C31)</f>
        <v>0</v>
      </c>
      <c r="D30" s="192">
        <f aca="true" t="shared" si="16" ref="D30:J30">SUM(D31)</f>
        <v>25735.05</v>
      </c>
      <c r="E30" s="192">
        <f t="shared" si="16"/>
        <v>0</v>
      </c>
      <c r="F30" s="192">
        <f t="shared" si="16"/>
        <v>274929.39</v>
      </c>
      <c r="G30" s="192">
        <f t="shared" si="16"/>
        <v>0</v>
      </c>
      <c r="H30" s="192">
        <f t="shared" si="16"/>
        <v>0</v>
      </c>
      <c r="I30" s="192">
        <f t="shared" si="6"/>
        <v>300664.44</v>
      </c>
      <c r="J30" s="192">
        <f t="shared" si="16"/>
        <v>0</v>
      </c>
      <c r="K30" s="192">
        <f>SUM(K31)</f>
        <v>6500</v>
      </c>
      <c r="L30" s="192">
        <f>SUM(L31)</f>
        <v>0</v>
      </c>
      <c r="M30" s="192">
        <f>SUM(M31)</f>
        <v>68666.11</v>
      </c>
      <c r="N30" s="192">
        <f>SUM(N31)</f>
        <v>0</v>
      </c>
      <c r="O30" s="192">
        <f>SUM(O31)</f>
        <v>0</v>
      </c>
      <c r="P30" s="186">
        <f t="shared" si="7"/>
        <v>75166.11</v>
      </c>
    </row>
    <row r="31" spans="1:16" ht="39" thickBot="1">
      <c r="A31" s="193"/>
      <c r="B31" s="193" t="s">
        <v>318</v>
      </c>
      <c r="C31" s="194">
        <v>0</v>
      </c>
      <c r="D31" s="194">
        <f>32500-6764.95</f>
        <v>25735.05</v>
      </c>
      <c r="E31" s="194">
        <v>0</v>
      </c>
      <c r="F31" s="194">
        <f>343330.55-68401.16</f>
        <v>274929.39</v>
      </c>
      <c r="G31" s="194">
        <v>0</v>
      </c>
      <c r="H31" s="194">
        <v>0</v>
      </c>
      <c r="I31" s="195">
        <f t="shared" si="6"/>
        <v>300664.44</v>
      </c>
      <c r="J31" s="194">
        <v>0</v>
      </c>
      <c r="K31" s="194">
        <v>6500</v>
      </c>
      <c r="L31" s="194">
        <v>0</v>
      </c>
      <c r="M31" s="194">
        <v>68666.11</v>
      </c>
      <c r="N31" s="194">
        <v>0</v>
      </c>
      <c r="O31" s="194">
        <v>0</v>
      </c>
      <c r="P31" s="186">
        <f t="shared" si="7"/>
        <v>75166.11</v>
      </c>
    </row>
    <row r="32" spans="1:16" ht="26.25" thickBot="1">
      <c r="A32" s="187" t="s">
        <v>641</v>
      </c>
      <c r="B32" s="188" t="s">
        <v>248</v>
      </c>
      <c r="C32" s="189">
        <f aca="true" t="shared" si="17" ref="C32:H32">SUM(C33+C36)</f>
        <v>58965</v>
      </c>
      <c r="D32" s="189">
        <f t="shared" si="17"/>
        <v>772195</v>
      </c>
      <c r="E32" s="189">
        <f t="shared" si="17"/>
        <v>0</v>
      </c>
      <c r="F32" s="189">
        <f t="shared" si="17"/>
        <v>240620</v>
      </c>
      <c r="G32" s="189">
        <f t="shared" si="17"/>
        <v>0</v>
      </c>
      <c r="H32" s="189">
        <f t="shared" si="17"/>
        <v>127020</v>
      </c>
      <c r="I32" s="189">
        <f t="shared" si="6"/>
        <v>1198800</v>
      </c>
      <c r="J32" s="189">
        <f aca="true" t="shared" si="18" ref="J32:O32">SUM(J33+J36)</f>
        <v>14000</v>
      </c>
      <c r="K32" s="189">
        <f t="shared" si="18"/>
        <v>191700</v>
      </c>
      <c r="L32" s="189">
        <f t="shared" si="18"/>
        <v>0</v>
      </c>
      <c r="M32" s="189">
        <f t="shared" si="18"/>
        <v>52700</v>
      </c>
      <c r="N32" s="189">
        <f t="shared" si="18"/>
        <v>0</v>
      </c>
      <c r="O32" s="189">
        <f t="shared" si="18"/>
        <v>30300</v>
      </c>
      <c r="P32" s="186">
        <f t="shared" si="7"/>
        <v>288700</v>
      </c>
    </row>
    <row r="33" spans="1:16" ht="26.25" thickBot="1">
      <c r="A33" s="199" t="s">
        <v>132</v>
      </c>
      <c r="B33" s="200" t="s">
        <v>143</v>
      </c>
      <c r="C33" s="192">
        <f>SUM(C34:C35)</f>
        <v>58965</v>
      </c>
      <c r="D33" s="192">
        <f aca="true" t="shared" si="19" ref="D33:J33">SUM(D34:D35)</f>
        <v>47835</v>
      </c>
      <c r="E33" s="192">
        <f t="shared" si="19"/>
        <v>0</v>
      </c>
      <c r="F33" s="192">
        <f t="shared" si="19"/>
        <v>0</v>
      </c>
      <c r="G33" s="192">
        <f t="shared" si="19"/>
        <v>0</v>
      </c>
      <c r="H33" s="192">
        <f t="shared" si="19"/>
        <v>84000</v>
      </c>
      <c r="I33" s="192">
        <f t="shared" si="6"/>
        <v>190800</v>
      </c>
      <c r="J33" s="192">
        <f t="shared" si="19"/>
        <v>14000</v>
      </c>
      <c r="K33" s="192">
        <f>SUM(K34:K35)</f>
        <v>11700</v>
      </c>
      <c r="L33" s="192">
        <f>SUM(L34:L35)</f>
        <v>0</v>
      </c>
      <c r="M33" s="192">
        <f>SUM(M34:M35)</f>
        <v>0</v>
      </c>
      <c r="N33" s="192">
        <f>SUM(N34:N35)</f>
        <v>0</v>
      </c>
      <c r="O33" s="192">
        <f>SUM(O34:O35)</f>
        <v>21000</v>
      </c>
      <c r="P33" s="186">
        <f t="shared" si="7"/>
        <v>46700</v>
      </c>
    </row>
    <row r="34" spans="1:16" ht="26.25" thickBot="1">
      <c r="A34" s="193"/>
      <c r="B34" s="193" t="s">
        <v>319</v>
      </c>
      <c r="C34" s="194">
        <f>72000-13035</f>
        <v>58965</v>
      </c>
      <c r="D34" s="194">
        <f>58500-10665</f>
        <v>47835</v>
      </c>
      <c r="E34" s="194">
        <v>0</v>
      </c>
      <c r="F34" s="194">
        <v>0</v>
      </c>
      <c r="G34" s="194">
        <v>0</v>
      </c>
      <c r="H34" s="194">
        <v>0</v>
      </c>
      <c r="I34" s="195">
        <f t="shared" si="6"/>
        <v>106800</v>
      </c>
      <c r="J34" s="194">
        <v>14000</v>
      </c>
      <c r="K34" s="194">
        <v>11700</v>
      </c>
      <c r="L34" s="194">
        <v>0</v>
      </c>
      <c r="M34" s="194">
        <v>0</v>
      </c>
      <c r="N34" s="194">
        <v>0</v>
      </c>
      <c r="O34" s="194">
        <v>0</v>
      </c>
      <c r="P34" s="186">
        <f t="shared" si="7"/>
        <v>25700</v>
      </c>
    </row>
    <row r="35" spans="1:16" ht="26.25" thickBot="1">
      <c r="A35" s="193"/>
      <c r="B35" s="193" t="s">
        <v>320</v>
      </c>
      <c r="C35" s="194">
        <v>0</v>
      </c>
      <c r="D35" s="194">
        <v>0</v>
      </c>
      <c r="E35" s="194">
        <v>0</v>
      </c>
      <c r="F35" s="194">
        <v>0</v>
      </c>
      <c r="G35" s="194">
        <v>0</v>
      </c>
      <c r="H35" s="194">
        <f>105000-21000</f>
        <v>84000</v>
      </c>
      <c r="I35" s="195">
        <f t="shared" si="6"/>
        <v>84000</v>
      </c>
      <c r="J35" s="194">
        <v>0</v>
      </c>
      <c r="K35" s="194">
        <v>0</v>
      </c>
      <c r="L35" s="194">
        <v>0</v>
      </c>
      <c r="M35" s="194">
        <v>0</v>
      </c>
      <c r="N35" s="194">
        <v>0</v>
      </c>
      <c r="O35" s="194">
        <v>21000</v>
      </c>
      <c r="P35" s="186">
        <f t="shared" si="7"/>
        <v>21000</v>
      </c>
    </row>
    <row r="36" spans="1:16" ht="39" thickBot="1">
      <c r="A36" s="199" t="s">
        <v>133</v>
      </c>
      <c r="B36" s="200" t="s">
        <v>249</v>
      </c>
      <c r="C36" s="192">
        <f>SUM(C37)</f>
        <v>0</v>
      </c>
      <c r="D36" s="192">
        <f aca="true" t="shared" si="20" ref="D36:J36">SUM(D37)</f>
        <v>724360</v>
      </c>
      <c r="E36" s="192">
        <f t="shared" si="20"/>
        <v>0</v>
      </c>
      <c r="F36" s="192">
        <f t="shared" si="20"/>
        <v>240620</v>
      </c>
      <c r="G36" s="192">
        <f t="shared" si="20"/>
        <v>0</v>
      </c>
      <c r="H36" s="192">
        <f t="shared" si="20"/>
        <v>43020</v>
      </c>
      <c r="I36" s="192">
        <f t="shared" si="6"/>
        <v>1008000</v>
      </c>
      <c r="J36" s="192">
        <f t="shared" si="20"/>
        <v>0</v>
      </c>
      <c r="K36" s="192">
        <f>SUM(K37)</f>
        <v>180000</v>
      </c>
      <c r="L36" s="192">
        <f>SUM(L37)</f>
        <v>0</v>
      </c>
      <c r="M36" s="192">
        <f>SUM(M37)</f>
        <v>52700</v>
      </c>
      <c r="N36" s="192">
        <f>SUM(N37)</f>
        <v>0</v>
      </c>
      <c r="O36" s="192">
        <f>SUM(O37)</f>
        <v>9300</v>
      </c>
      <c r="P36" s="186">
        <f t="shared" si="7"/>
        <v>242000</v>
      </c>
    </row>
    <row r="37" spans="1:16" ht="64.5" thickBot="1">
      <c r="A37" s="193"/>
      <c r="B37" s="193" t="s">
        <v>321</v>
      </c>
      <c r="C37" s="194">
        <v>0</v>
      </c>
      <c r="D37" s="194">
        <f>895000-170640</f>
        <v>724360</v>
      </c>
      <c r="E37" s="194">
        <v>0</v>
      </c>
      <c r="F37" s="194">
        <f>(350000*0.85)-56880</f>
        <v>240620</v>
      </c>
      <c r="G37" s="194">
        <v>0</v>
      </c>
      <c r="H37" s="194">
        <f>(350000*0.15)-9480</f>
        <v>43020</v>
      </c>
      <c r="I37" s="195">
        <f t="shared" si="6"/>
        <v>1008000</v>
      </c>
      <c r="J37" s="194">
        <v>0</v>
      </c>
      <c r="K37" s="194">
        <v>180000</v>
      </c>
      <c r="L37" s="194">
        <v>0</v>
      </c>
      <c r="M37" s="194">
        <f>62000*0.85</f>
        <v>52700</v>
      </c>
      <c r="N37" s="194">
        <v>0</v>
      </c>
      <c r="O37" s="194">
        <f>62000*0.15</f>
        <v>9300</v>
      </c>
      <c r="P37" s="186">
        <f t="shared" si="7"/>
        <v>242000</v>
      </c>
    </row>
    <row r="38" spans="1:16" ht="33" customHeight="1" thickBot="1">
      <c r="A38" s="187" t="s">
        <v>149</v>
      </c>
      <c r="B38" s="188" t="s">
        <v>150</v>
      </c>
      <c r="C38" s="189">
        <f aca="true" t="shared" si="21" ref="C38:O38">SUM(C39+C46+C49+C51+C54+C61)</f>
        <v>4441716</v>
      </c>
      <c r="D38" s="189">
        <f t="shared" si="21"/>
        <v>4595908.84</v>
      </c>
      <c r="E38" s="189">
        <f t="shared" si="21"/>
        <v>2548105</v>
      </c>
      <c r="F38" s="189">
        <f t="shared" si="21"/>
        <v>13682404.55</v>
      </c>
      <c r="G38" s="189">
        <f t="shared" si="21"/>
        <v>240000</v>
      </c>
      <c r="H38" s="189">
        <f t="shared" si="21"/>
        <v>764276</v>
      </c>
      <c r="I38" s="189">
        <f>SUM(I39+I46+I49+I51+I54+I61)</f>
        <v>26272410.39</v>
      </c>
      <c r="J38" s="189">
        <f t="shared" si="21"/>
        <v>2143642</v>
      </c>
      <c r="K38" s="189">
        <f t="shared" si="21"/>
        <v>1261011.5865</v>
      </c>
      <c r="L38" s="189">
        <f t="shared" si="21"/>
        <v>624330</v>
      </c>
      <c r="M38" s="189">
        <f t="shared" si="21"/>
        <v>6607940.3535</v>
      </c>
      <c r="N38" s="189">
        <f t="shared" si="21"/>
        <v>60000</v>
      </c>
      <c r="O38" s="189">
        <f t="shared" si="21"/>
        <v>191032</v>
      </c>
      <c r="P38" s="186">
        <f t="shared" si="7"/>
        <v>10887955.940000001</v>
      </c>
    </row>
    <row r="39" spans="1:16" ht="30" customHeight="1" thickBot="1">
      <c r="A39" s="199" t="s">
        <v>642</v>
      </c>
      <c r="B39" s="200" t="s">
        <v>250</v>
      </c>
      <c r="C39" s="192">
        <f>SUM(C40:C45)</f>
        <v>3598000</v>
      </c>
      <c r="D39" s="192">
        <f aca="true" t="shared" si="22" ref="D39:J39">SUM(D40:D45)</f>
        <v>1126600</v>
      </c>
      <c r="E39" s="192">
        <f t="shared" si="22"/>
        <v>480000</v>
      </c>
      <c r="F39" s="192">
        <f t="shared" si="22"/>
        <v>12750000</v>
      </c>
      <c r="G39" s="192">
        <f t="shared" si="22"/>
        <v>240000</v>
      </c>
      <c r="H39" s="192">
        <f t="shared" si="22"/>
        <v>240000</v>
      </c>
      <c r="I39" s="192">
        <f>SUM(C39:H39)</f>
        <v>18434600</v>
      </c>
      <c r="J39" s="192">
        <f t="shared" si="22"/>
        <v>1933000</v>
      </c>
      <c r="K39" s="192">
        <f>SUM(K40:K45)</f>
        <v>399400</v>
      </c>
      <c r="L39" s="192">
        <f>SUM(L40:L45)</f>
        <v>120000</v>
      </c>
      <c r="M39" s="192">
        <f>SUM(M40:M45)</f>
        <v>6375000</v>
      </c>
      <c r="N39" s="192">
        <f>SUM(N40:N45)</f>
        <v>60000</v>
      </c>
      <c r="O39" s="192">
        <f>SUM(O40:O45)</f>
        <v>60000</v>
      </c>
      <c r="P39" s="186">
        <f t="shared" si="7"/>
        <v>8947400</v>
      </c>
    </row>
    <row r="40" spans="1:16" ht="39" thickBot="1">
      <c r="A40" s="203"/>
      <c r="B40" s="204" t="s">
        <v>327</v>
      </c>
      <c r="C40" s="205">
        <v>720000</v>
      </c>
      <c r="D40" s="205">
        <v>720000</v>
      </c>
      <c r="E40" s="205">
        <v>480000</v>
      </c>
      <c r="F40" s="205">
        <v>0</v>
      </c>
      <c r="G40" s="205">
        <v>240000</v>
      </c>
      <c r="H40" s="205">
        <v>240000</v>
      </c>
      <c r="I40" s="195">
        <f aca="true" t="shared" si="23" ref="I40:I45">SUM(C40:H40)</f>
        <v>2400000</v>
      </c>
      <c r="J40" s="205">
        <v>180000</v>
      </c>
      <c r="K40" s="205">
        <v>180000</v>
      </c>
      <c r="L40" s="205">
        <v>120000</v>
      </c>
      <c r="M40" s="205">
        <v>0</v>
      </c>
      <c r="N40" s="205">
        <v>60000</v>
      </c>
      <c r="O40" s="205">
        <v>60000</v>
      </c>
      <c r="P40" s="186">
        <f t="shared" si="7"/>
        <v>600000</v>
      </c>
    </row>
    <row r="41" spans="1:16" ht="51.75" thickBot="1">
      <c r="A41" s="206"/>
      <c r="B41" s="207" t="s">
        <v>328</v>
      </c>
      <c r="C41" s="205">
        <v>2250000</v>
      </c>
      <c r="D41" s="205">
        <v>0</v>
      </c>
      <c r="E41" s="205">
        <v>0</v>
      </c>
      <c r="F41" s="205">
        <v>12750000</v>
      </c>
      <c r="G41" s="205">
        <v>0</v>
      </c>
      <c r="H41" s="205">
        <v>0</v>
      </c>
      <c r="I41" s="195">
        <f t="shared" si="23"/>
        <v>15000000</v>
      </c>
      <c r="J41" s="208">
        <v>1125000</v>
      </c>
      <c r="K41" s="208">
        <v>0</v>
      </c>
      <c r="L41" s="208">
        <v>0</v>
      </c>
      <c r="M41" s="208">
        <v>6375000</v>
      </c>
      <c r="N41" s="208">
        <v>0</v>
      </c>
      <c r="O41" s="208">
        <v>0</v>
      </c>
      <c r="P41" s="186">
        <f t="shared" si="7"/>
        <v>7500000</v>
      </c>
    </row>
    <row r="42" spans="1:16" ht="64.5" thickBot="1">
      <c r="A42" s="206"/>
      <c r="B42" s="207" t="s">
        <v>329</v>
      </c>
      <c r="C42" s="205">
        <v>0</v>
      </c>
      <c r="D42" s="205">
        <v>249600</v>
      </c>
      <c r="E42" s="205">
        <v>0</v>
      </c>
      <c r="F42" s="205">
        <v>0</v>
      </c>
      <c r="G42" s="205">
        <v>0</v>
      </c>
      <c r="H42" s="205">
        <v>0</v>
      </c>
      <c r="I42" s="195">
        <f t="shared" si="23"/>
        <v>249600</v>
      </c>
      <c r="J42" s="208">
        <v>0</v>
      </c>
      <c r="K42" s="208">
        <v>62400</v>
      </c>
      <c r="L42" s="208">
        <v>0</v>
      </c>
      <c r="M42" s="208">
        <v>0</v>
      </c>
      <c r="N42" s="208">
        <v>0</v>
      </c>
      <c r="O42" s="208">
        <v>0</v>
      </c>
      <c r="P42" s="186">
        <f t="shared" si="7"/>
        <v>62400</v>
      </c>
    </row>
    <row r="43" spans="1:16" ht="39" thickBot="1">
      <c r="A43" s="206"/>
      <c r="B43" s="204" t="s">
        <v>330</v>
      </c>
      <c r="C43" s="205">
        <v>28000</v>
      </c>
      <c r="D43" s="205">
        <v>7000</v>
      </c>
      <c r="E43" s="205">
        <v>0</v>
      </c>
      <c r="F43" s="205">
        <v>0</v>
      </c>
      <c r="G43" s="205">
        <v>0</v>
      </c>
      <c r="H43" s="205">
        <v>0</v>
      </c>
      <c r="I43" s="195">
        <f t="shared" si="23"/>
        <v>35000</v>
      </c>
      <c r="J43" s="208">
        <v>28000</v>
      </c>
      <c r="K43" s="208">
        <v>7000</v>
      </c>
      <c r="L43" s="208">
        <v>0</v>
      </c>
      <c r="M43" s="208">
        <v>0</v>
      </c>
      <c r="N43" s="208">
        <v>0</v>
      </c>
      <c r="O43" s="208">
        <v>0</v>
      </c>
      <c r="P43" s="186">
        <f t="shared" si="7"/>
        <v>35000</v>
      </c>
    </row>
    <row r="44" spans="1:16" ht="48.75" customHeight="1" thickBot="1">
      <c r="A44" s="206"/>
      <c r="B44" s="204" t="s">
        <v>331</v>
      </c>
      <c r="C44" s="205">
        <v>120000</v>
      </c>
      <c r="D44" s="205">
        <v>30000</v>
      </c>
      <c r="E44" s="205">
        <v>0</v>
      </c>
      <c r="F44" s="205">
        <v>0</v>
      </c>
      <c r="G44" s="205">
        <v>0</v>
      </c>
      <c r="H44" s="205">
        <v>0</v>
      </c>
      <c r="I44" s="195">
        <f t="shared" si="23"/>
        <v>150000</v>
      </c>
      <c r="J44" s="208">
        <v>120000</v>
      </c>
      <c r="K44" s="208">
        <v>30000</v>
      </c>
      <c r="L44" s="208">
        <v>0</v>
      </c>
      <c r="M44" s="208">
        <v>0</v>
      </c>
      <c r="N44" s="208">
        <v>0</v>
      </c>
      <c r="O44" s="208">
        <v>0</v>
      </c>
      <c r="P44" s="186">
        <f t="shared" si="7"/>
        <v>150000</v>
      </c>
    </row>
    <row r="45" spans="1:16" ht="45.75" customHeight="1" thickBot="1">
      <c r="A45" s="206"/>
      <c r="B45" s="209" t="s">
        <v>332</v>
      </c>
      <c r="C45" s="205">
        <v>480000</v>
      </c>
      <c r="D45" s="205">
        <v>120000</v>
      </c>
      <c r="E45" s="205">
        <v>0</v>
      </c>
      <c r="F45" s="205">
        <v>0</v>
      </c>
      <c r="G45" s="205">
        <v>0</v>
      </c>
      <c r="H45" s="205">
        <v>0</v>
      </c>
      <c r="I45" s="195">
        <f t="shared" si="23"/>
        <v>600000</v>
      </c>
      <c r="J45" s="205">
        <v>480000</v>
      </c>
      <c r="K45" s="205">
        <v>120000</v>
      </c>
      <c r="L45" s="208">
        <v>0</v>
      </c>
      <c r="M45" s="208">
        <v>0</v>
      </c>
      <c r="N45" s="208">
        <v>0</v>
      </c>
      <c r="O45" s="208">
        <v>0</v>
      </c>
      <c r="P45" s="186">
        <f t="shared" si="7"/>
        <v>600000</v>
      </c>
    </row>
    <row r="46" spans="1:16" ht="51.75" thickBot="1">
      <c r="A46" s="199" t="s">
        <v>146</v>
      </c>
      <c r="B46" s="200" t="s">
        <v>152</v>
      </c>
      <c r="C46" s="192">
        <f>SUM(C47:C48)</f>
        <v>100800</v>
      </c>
      <c r="D46" s="192">
        <f aca="true" t="shared" si="24" ref="D46:J46">SUM(D47:D48)</f>
        <v>17717.75</v>
      </c>
      <c r="E46" s="192">
        <f t="shared" si="24"/>
        <v>0</v>
      </c>
      <c r="F46" s="192">
        <f t="shared" si="24"/>
        <v>55973.92</v>
      </c>
      <c r="G46" s="192">
        <f t="shared" si="24"/>
        <v>0</v>
      </c>
      <c r="H46" s="192">
        <f t="shared" si="24"/>
        <v>3360</v>
      </c>
      <c r="I46" s="192">
        <f t="shared" si="6"/>
        <v>177851.66999999998</v>
      </c>
      <c r="J46" s="192">
        <f t="shared" si="24"/>
        <v>24970</v>
      </c>
      <c r="K46" s="192">
        <f>SUM(K47:K48)</f>
        <v>6368.336499999999</v>
      </c>
      <c r="L46" s="192">
        <f>SUM(L47:L48)</f>
        <v>0</v>
      </c>
      <c r="M46" s="192">
        <f>SUM(M47:M48)</f>
        <v>23790.5735</v>
      </c>
      <c r="N46" s="192">
        <f>SUM(N47:N48)</f>
        <v>0</v>
      </c>
      <c r="O46" s="192">
        <f>SUM(O47:O48)</f>
        <v>860</v>
      </c>
      <c r="P46" s="186">
        <f t="shared" si="7"/>
        <v>55988.909999999996</v>
      </c>
    </row>
    <row r="47" spans="1:16" ht="39" thickBot="1">
      <c r="A47" s="206"/>
      <c r="B47" s="210" t="s">
        <v>334</v>
      </c>
      <c r="C47" s="205">
        <v>0</v>
      </c>
      <c r="D47" s="205">
        <v>9877.75</v>
      </c>
      <c r="E47" s="205">
        <v>0</v>
      </c>
      <c r="F47" s="205">
        <v>55973.92</v>
      </c>
      <c r="G47" s="205">
        <v>0</v>
      </c>
      <c r="H47" s="205">
        <v>0</v>
      </c>
      <c r="I47" s="195">
        <f t="shared" si="6"/>
        <v>65851.67</v>
      </c>
      <c r="J47" s="208">
        <v>0</v>
      </c>
      <c r="K47" s="208">
        <v>4198.336499999999</v>
      </c>
      <c r="L47" s="208">
        <v>0</v>
      </c>
      <c r="M47" s="208">
        <v>23790.5735</v>
      </c>
      <c r="N47" s="208">
        <v>0</v>
      </c>
      <c r="O47" s="208">
        <v>0</v>
      </c>
      <c r="P47" s="186">
        <f t="shared" si="7"/>
        <v>27988.909999999996</v>
      </c>
    </row>
    <row r="48" spans="1:16" ht="64.5" thickBot="1">
      <c r="A48" s="206"/>
      <c r="B48" s="206" t="s">
        <v>335</v>
      </c>
      <c r="C48" s="205">
        <v>100800</v>
      </c>
      <c r="D48" s="205">
        <v>7840</v>
      </c>
      <c r="E48" s="205">
        <v>0</v>
      </c>
      <c r="F48" s="205">
        <v>0</v>
      </c>
      <c r="G48" s="205">
        <v>0</v>
      </c>
      <c r="H48" s="205">
        <v>3360</v>
      </c>
      <c r="I48" s="195">
        <f t="shared" si="6"/>
        <v>112000</v>
      </c>
      <c r="J48" s="208">
        <v>24970</v>
      </c>
      <c r="K48" s="208">
        <v>2170</v>
      </c>
      <c r="L48" s="208">
        <v>0</v>
      </c>
      <c r="M48" s="208">
        <v>0</v>
      </c>
      <c r="N48" s="208">
        <v>0</v>
      </c>
      <c r="O48" s="208">
        <v>860</v>
      </c>
      <c r="P48" s="186">
        <f t="shared" si="7"/>
        <v>28000</v>
      </c>
    </row>
    <row r="49" spans="1:16" ht="51.75" thickBot="1">
      <c r="A49" s="199" t="s">
        <v>147</v>
      </c>
      <c r="B49" s="200" t="s">
        <v>252</v>
      </c>
      <c r="C49" s="192">
        <f>SUM(C50)</f>
        <v>90000</v>
      </c>
      <c r="D49" s="192">
        <f aca="true" t="shared" si="25" ref="D49:J49">SUM(D50)</f>
        <v>90000</v>
      </c>
      <c r="E49" s="192">
        <f t="shared" si="25"/>
        <v>0</v>
      </c>
      <c r="F49" s="192">
        <f t="shared" si="25"/>
        <v>0</v>
      </c>
      <c r="G49" s="192">
        <f t="shared" si="25"/>
        <v>0</v>
      </c>
      <c r="H49" s="192">
        <f t="shared" si="25"/>
        <v>0</v>
      </c>
      <c r="I49" s="192">
        <f aca="true" t="shared" si="26" ref="I49:I54">SUM(C49:H49)</f>
        <v>180000</v>
      </c>
      <c r="J49" s="192">
        <f t="shared" si="25"/>
        <v>22500</v>
      </c>
      <c r="K49" s="192">
        <f>SUM(K50)</f>
        <v>22500</v>
      </c>
      <c r="L49" s="192">
        <f>SUM(L50)</f>
        <v>0</v>
      </c>
      <c r="M49" s="192">
        <f>SUM(M50)</f>
        <v>0</v>
      </c>
      <c r="N49" s="192">
        <f>SUM(N50)</f>
        <v>0</v>
      </c>
      <c r="O49" s="192">
        <f>SUM(O50)</f>
        <v>0</v>
      </c>
      <c r="P49" s="186">
        <f aca="true" t="shared" si="27" ref="P49:P54">SUM(J49:O49)</f>
        <v>45000</v>
      </c>
    </row>
    <row r="50" spans="1:16" ht="64.5" thickBot="1">
      <c r="A50" s="206"/>
      <c r="B50" s="210" t="s">
        <v>337</v>
      </c>
      <c r="C50" s="205">
        <v>90000</v>
      </c>
      <c r="D50" s="205">
        <v>90000</v>
      </c>
      <c r="E50" s="205">
        <v>0</v>
      </c>
      <c r="F50" s="205">
        <v>0</v>
      </c>
      <c r="G50" s="205">
        <v>0</v>
      </c>
      <c r="H50" s="205">
        <v>0</v>
      </c>
      <c r="I50" s="195">
        <f t="shared" si="26"/>
        <v>180000</v>
      </c>
      <c r="J50" s="208">
        <v>22500</v>
      </c>
      <c r="K50" s="208">
        <v>22500</v>
      </c>
      <c r="L50" s="208">
        <v>0</v>
      </c>
      <c r="M50" s="208">
        <v>0</v>
      </c>
      <c r="N50" s="208">
        <v>0</v>
      </c>
      <c r="O50" s="208">
        <v>0</v>
      </c>
      <c r="P50" s="186">
        <f t="shared" si="27"/>
        <v>45000</v>
      </c>
    </row>
    <row r="51" spans="1:16" ht="39" thickBot="1">
      <c r="A51" s="199" t="s">
        <v>148</v>
      </c>
      <c r="B51" s="200" t="s">
        <v>153</v>
      </c>
      <c r="C51" s="192">
        <f>SUM(C52:C53)</f>
        <v>210000</v>
      </c>
      <c r="D51" s="192">
        <f aca="true" t="shared" si="28" ref="D51:J51">SUM(D52:D53)</f>
        <v>270000</v>
      </c>
      <c r="E51" s="192">
        <f t="shared" si="28"/>
        <v>162000</v>
      </c>
      <c r="F51" s="192">
        <f t="shared" si="28"/>
        <v>0</v>
      </c>
      <c r="G51" s="192">
        <f t="shared" si="28"/>
        <v>0</v>
      </c>
      <c r="H51" s="192">
        <f t="shared" si="28"/>
        <v>238000</v>
      </c>
      <c r="I51" s="192">
        <f t="shared" si="26"/>
        <v>880000</v>
      </c>
      <c r="J51" s="192">
        <f t="shared" si="28"/>
        <v>52500</v>
      </c>
      <c r="K51" s="192">
        <f>SUM(K52:K53)</f>
        <v>67500</v>
      </c>
      <c r="L51" s="192">
        <f>SUM(L52:L53)</f>
        <v>40500</v>
      </c>
      <c r="M51" s="192">
        <f>SUM(M52:M53)</f>
        <v>0</v>
      </c>
      <c r="N51" s="192">
        <f>SUM(N52:N53)</f>
        <v>0</v>
      </c>
      <c r="O51" s="192">
        <f>SUM(O52:O53)</f>
        <v>59499.99999999999</v>
      </c>
      <c r="P51" s="186">
        <f t="shared" si="27"/>
        <v>220000</v>
      </c>
    </row>
    <row r="52" spans="1:16" ht="26.25" thickBot="1">
      <c r="A52" s="203"/>
      <c r="B52" s="211" t="s">
        <v>339</v>
      </c>
      <c r="C52" s="205">
        <v>108000</v>
      </c>
      <c r="D52" s="205">
        <v>270000</v>
      </c>
      <c r="E52" s="205">
        <v>162000</v>
      </c>
      <c r="F52" s="205">
        <v>0</v>
      </c>
      <c r="G52" s="205">
        <v>0</v>
      </c>
      <c r="H52" s="205">
        <v>0</v>
      </c>
      <c r="I52" s="195">
        <f t="shared" si="26"/>
        <v>540000</v>
      </c>
      <c r="J52" s="205">
        <v>27000</v>
      </c>
      <c r="K52" s="205">
        <v>67500</v>
      </c>
      <c r="L52" s="205">
        <v>40500</v>
      </c>
      <c r="M52" s="205">
        <v>0</v>
      </c>
      <c r="N52" s="205">
        <v>0</v>
      </c>
      <c r="O52" s="205">
        <v>0</v>
      </c>
      <c r="P52" s="186">
        <f t="shared" si="27"/>
        <v>135000</v>
      </c>
    </row>
    <row r="53" spans="1:16" ht="64.5" thickBot="1">
      <c r="A53" s="206"/>
      <c r="B53" s="210" t="s">
        <v>340</v>
      </c>
      <c r="C53" s="205">
        <v>102000</v>
      </c>
      <c r="D53" s="205">
        <v>0</v>
      </c>
      <c r="E53" s="205">
        <v>0</v>
      </c>
      <c r="F53" s="205">
        <v>0</v>
      </c>
      <c r="G53" s="205">
        <v>0</v>
      </c>
      <c r="H53" s="205">
        <v>238000</v>
      </c>
      <c r="I53" s="195">
        <f t="shared" si="26"/>
        <v>340000</v>
      </c>
      <c r="J53" s="208">
        <v>25500</v>
      </c>
      <c r="K53" s="208">
        <v>0</v>
      </c>
      <c r="L53" s="208">
        <v>0</v>
      </c>
      <c r="M53" s="208">
        <v>0</v>
      </c>
      <c r="N53" s="208">
        <v>0</v>
      </c>
      <c r="O53" s="208">
        <v>59499.99999999999</v>
      </c>
      <c r="P53" s="186">
        <f t="shared" si="27"/>
        <v>85000</v>
      </c>
    </row>
    <row r="54" spans="1:16" ht="61.5" customHeight="1" thickBot="1">
      <c r="A54" s="199" t="s">
        <v>154</v>
      </c>
      <c r="B54" s="200" t="s">
        <v>155</v>
      </c>
      <c r="C54" s="192">
        <f>SUM(C55:C60)</f>
        <v>202916</v>
      </c>
      <c r="D54" s="192">
        <f aca="true" t="shared" si="29" ref="D54:J54">SUM(D55:D60)</f>
        <v>2691591.09</v>
      </c>
      <c r="E54" s="192">
        <f t="shared" si="29"/>
        <v>1746105</v>
      </c>
      <c r="F54" s="192">
        <f t="shared" si="29"/>
        <v>876430.63</v>
      </c>
      <c r="G54" s="192">
        <f t="shared" si="29"/>
        <v>0</v>
      </c>
      <c r="H54" s="192">
        <f t="shared" si="29"/>
        <v>202916</v>
      </c>
      <c r="I54" s="192">
        <f t="shared" si="26"/>
        <v>5719958.72</v>
      </c>
      <c r="J54" s="192">
        <f t="shared" si="29"/>
        <v>50672</v>
      </c>
      <c r="K54" s="192">
        <f>SUM(K55:K60)</f>
        <v>665243.25</v>
      </c>
      <c r="L54" s="192">
        <f>SUM(L55:L60)</f>
        <v>423830</v>
      </c>
      <c r="M54" s="192">
        <f>SUM(M55:M60)</f>
        <v>209149.78</v>
      </c>
      <c r="N54" s="192">
        <f>SUM(N55:N60)</f>
        <v>0</v>
      </c>
      <c r="O54" s="192">
        <f>SUM(O55:O60)</f>
        <v>50672</v>
      </c>
      <c r="P54" s="186">
        <f t="shared" si="27"/>
        <v>1399567.03</v>
      </c>
    </row>
    <row r="55" spans="1:16" ht="39" thickBot="1">
      <c r="A55" s="206"/>
      <c r="B55" s="210" t="s">
        <v>351</v>
      </c>
      <c r="C55" s="205">
        <v>0</v>
      </c>
      <c r="D55" s="205">
        <v>224000</v>
      </c>
      <c r="E55" s="205">
        <v>56000</v>
      </c>
      <c r="F55" s="205">
        <v>0</v>
      </c>
      <c r="G55" s="205">
        <v>0</v>
      </c>
      <c r="H55" s="205">
        <v>0</v>
      </c>
      <c r="I55" s="195">
        <f aca="true" t="shared" si="30" ref="I55:I60">SUM(C55:H55)</f>
        <v>280000</v>
      </c>
      <c r="J55" s="208">
        <v>0</v>
      </c>
      <c r="K55" s="208">
        <v>56000</v>
      </c>
      <c r="L55" s="208">
        <v>14000</v>
      </c>
      <c r="M55" s="208">
        <v>0</v>
      </c>
      <c r="N55" s="208">
        <v>0</v>
      </c>
      <c r="O55" s="208">
        <v>0</v>
      </c>
      <c r="P55" s="186">
        <f aca="true" t="shared" si="31" ref="P55:P60">SUM(J55:O55)</f>
        <v>70000</v>
      </c>
    </row>
    <row r="56" spans="1:16" ht="26.25" thickBot="1">
      <c r="A56" s="206"/>
      <c r="B56" s="210" t="s">
        <v>352</v>
      </c>
      <c r="C56" s="205">
        <v>0</v>
      </c>
      <c r="D56" s="205">
        <v>96000</v>
      </c>
      <c r="E56" s="205">
        <v>24000</v>
      </c>
      <c r="F56" s="205">
        <v>0</v>
      </c>
      <c r="G56" s="205">
        <v>0</v>
      </c>
      <c r="H56" s="205">
        <v>0</v>
      </c>
      <c r="I56" s="195">
        <f t="shared" si="30"/>
        <v>120000</v>
      </c>
      <c r="J56" s="208">
        <v>0</v>
      </c>
      <c r="K56" s="208">
        <v>24000</v>
      </c>
      <c r="L56" s="208">
        <v>6000</v>
      </c>
      <c r="M56" s="208">
        <v>0</v>
      </c>
      <c r="N56" s="208">
        <v>0</v>
      </c>
      <c r="O56" s="208">
        <v>0</v>
      </c>
      <c r="P56" s="186">
        <f t="shared" si="31"/>
        <v>30000</v>
      </c>
    </row>
    <row r="57" spans="1:16" ht="51.75" thickBot="1">
      <c r="A57" s="206"/>
      <c r="B57" s="210" t="s">
        <v>353</v>
      </c>
      <c r="C57" s="205">
        <v>0</v>
      </c>
      <c r="D57" s="212">
        <v>714045</v>
      </c>
      <c r="E57" s="205">
        <v>1666105</v>
      </c>
      <c r="F57" s="205">
        <v>0</v>
      </c>
      <c r="G57" s="205">
        <v>0</v>
      </c>
      <c r="H57" s="205">
        <v>0</v>
      </c>
      <c r="I57" s="195">
        <f t="shared" si="30"/>
        <v>2380150</v>
      </c>
      <c r="J57" s="208">
        <v>0</v>
      </c>
      <c r="K57" s="208">
        <v>173070</v>
      </c>
      <c r="L57" s="208">
        <v>403830</v>
      </c>
      <c r="M57" s="208">
        <v>0</v>
      </c>
      <c r="N57" s="208">
        <v>0</v>
      </c>
      <c r="O57" s="208">
        <v>0</v>
      </c>
      <c r="P57" s="186">
        <f t="shared" si="31"/>
        <v>576900</v>
      </c>
    </row>
    <row r="58" spans="1:16" ht="39" thickBot="1">
      <c r="A58" s="206"/>
      <c r="B58" s="210" t="s">
        <v>354</v>
      </c>
      <c r="C58" s="205">
        <v>0</v>
      </c>
      <c r="D58" s="205">
        <v>34218.09</v>
      </c>
      <c r="E58" s="205">
        <v>0</v>
      </c>
      <c r="F58" s="205">
        <v>193902.51</v>
      </c>
      <c r="G58" s="205">
        <v>0</v>
      </c>
      <c r="H58" s="205">
        <v>0</v>
      </c>
      <c r="I58" s="195">
        <f t="shared" si="30"/>
        <v>228120.6</v>
      </c>
      <c r="J58" s="208">
        <v>0</v>
      </c>
      <c r="K58" s="208">
        <v>6797.25</v>
      </c>
      <c r="L58" s="208">
        <v>0</v>
      </c>
      <c r="M58" s="208">
        <v>38517.75</v>
      </c>
      <c r="N58" s="208">
        <v>0</v>
      </c>
      <c r="O58" s="208">
        <v>0</v>
      </c>
      <c r="P58" s="186">
        <f t="shared" si="31"/>
        <v>45315</v>
      </c>
    </row>
    <row r="59" spans="1:16" ht="39" thickBot="1">
      <c r="A59" s="213"/>
      <c r="B59" s="214" t="s">
        <v>355</v>
      </c>
      <c r="C59" s="205">
        <v>0</v>
      </c>
      <c r="D59" s="205">
        <v>0</v>
      </c>
      <c r="E59" s="205">
        <v>0</v>
      </c>
      <c r="F59" s="205">
        <v>682528.12</v>
      </c>
      <c r="G59" s="205">
        <v>0</v>
      </c>
      <c r="H59" s="205">
        <v>0</v>
      </c>
      <c r="I59" s="195">
        <f t="shared" si="30"/>
        <v>682528.12</v>
      </c>
      <c r="J59" s="208">
        <v>0</v>
      </c>
      <c r="K59" s="208">
        <v>0</v>
      </c>
      <c r="L59" s="208">
        <v>0</v>
      </c>
      <c r="M59" s="208">
        <v>170632.03</v>
      </c>
      <c r="N59" s="208">
        <v>0</v>
      </c>
      <c r="O59" s="208">
        <v>0</v>
      </c>
      <c r="P59" s="186">
        <f t="shared" si="31"/>
        <v>170632.03</v>
      </c>
    </row>
    <row r="60" spans="1:16" ht="90" thickBot="1">
      <c r="A60" s="215"/>
      <c r="B60" s="216" t="s">
        <v>356</v>
      </c>
      <c r="C60" s="217">
        <v>202916</v>
      </c>
      <c r="D60" s="205">
        <v>1623328</v>
      </c>
      <c r="E60" s="205">
        <v>0</v>
      </c>
      <c r="F60" s="205">
        <v>0</v>
      </c>
      <c r="G60" s="205">
        <v>0</v>
      </c>
      <c r="H60" s="205">
        <v>202916</v>
      </c>
      <c r="I60" s="195">
        <f t="shared" si="30"/>
        <v>2029160</v>
      </c>
      <c r="J60" s="205">
        <v>50672</v>
      </c>
      <c r="K60" s="205">
        <v>405376</v>
      </c>
      <c r="L60" s="205">
        <v>0</v>
      </c>
      <c r="M60" s="205">
        <v>0</v>
      </c>
      <c r="N60" s="205">
        <v>0</v>
      </c>
      <c r="O60" s="205">
        <v>50672</v>
      </c>
      <c r="P60" s="186">
        <f t="shared" si="31"/>
        <v>506720</v>
      </c>
    </row>
    <row r="61" spans="1:16" s="221" customFormat="1" ht="36.75" customHeight="1" thickBot="1">
      <c r="A61" s="199" t="s">
        <v>595</v>
      </c>
      <c r="B61" s="218" t="s">
        <v>607</v>
      </c>
      <c r="C61" s="219">
        <f aca="true" t="shared" si="32" ref="C61:H61">SUM(C62:C63)</f>
        <v>240000</v>
      </c>
      <c r="D61" s="219">
        <f t="shared" si="32"/>
        <v>400000</v>
      </c>
      <c r="E61" s="219">
        <f t="shared" si="32"/>
        <v>160000</v>
      </c>
      <c r="F61" s="219">
        <f t="shared" si="32"/>
        <v>0</v>
      </c>
      <c r="G61" s="219">
        <f t="shared" si="32"/>
        <v>0</v>
      </c>
      <c r="H61" s="219">
        <f t="shared" si="32"/>
        <v>80000</v>
      </c>
      <c r="I61" s="219">
        <f>SUM(C61:H61)</f>
        <v>880000</v>
      </c>
      <c r="J61" s="219">
        <f aca="true" t="shared" si="33" ref="J61:O61">SUM(J62:J63)</f>
        <v>60000</v>
      </c>
      <c r="K61" s="219">
        <f t="shared" si="33"/>
        <v>100000</v>
      </c>
      <c r="L61" s="219">
        <f t="shared" si="33"/>
        <v>40000</v>
      </c>
      <c r="M61" s="219">
        <f t="shared" si="33"/>
        <v>0</v>
      </c>
      <c r="N61" s="219">
        <f t="shared" si="33"/>
        <v>0</v>
      </c>
      <c r="O61" s="219">
        <f t="shared" si="33"/>
        <v>20000</v>
      </c>
      <c r="P61" s="220">
        <f>SUM(J61:O61)</f>
        <v>220000</v>
      </c>
    </row>
    <row r="62" spans="1:16" s="153" customFormat="1" ht="33.75" customHeight="1" thickBot="1">
      <c r="A62" s="222"/>
      <c r="B62" s="223" t="s">
        <v>605</v>
      </c>
      <c r="C62" s="276">
        <v>240000</v>
      </c>
      <c r="D62" s="276">
        <v>320000</v>
      </c>
      <c r="E62" s="276">
        <v>160000</v>
      </c>
      <c r="F62" s="276">
        <v>0</v>
      </c>
      <c r="G62" s="276">
        <v>0</v>
      </c>
      <c r="H62" s="276">
        <v>80000</v>
      </c>
      <c r="I62" s="224">
        <f>SUM(I63:I64)</f>
        <v>45428143.33</v>
      </c>
      <c r="J62" s="225">
        <f>P62*0.3</f>
        <v>60000</v>
      </c>
      <c r="K62" s="225">
        <f>P62*0.4</f>
        <v>80000</v>
      </c>
      <c r="L62" s="225">
        <f>P62*0.2</f>
        <v>40000</v>
      </c>
      <c r="M62" s="225">
        <v>0</v>
      </c>
      <c r="N62" s="225">
        <v>0</v>
      </c>
      <c r="O62" s="225">
        <f>P62*0.1</f>
        <v>20000</v>
      </c>
      <c r="P62" s="220">
        <v>200000</v>
      </c>
    </row>
    <row r="63" spans="1:16" s="153" customFormat="1" ht="33" customHeight="1" thickBot="1">
      <c r="A63" s="222"/>
      <c r="B63" s="223" t="s">
        <v>813</v>
      </c>
      <c r="C63" s="276">
        <v>0</v>
      </c>
      <c r="D63" s="276">
        <v>80000</v>
      </c>
      <c r="E63" s="276">
        <v>0</v>
      </c>
      <c r="F63" s="276">
        <v>0</v>
      </c>
      <c r="G63" s="276">
        <v>0</v>
      </c>
      <c r="H63" s="276">
        <v>0</v>
      </c>
      <c r="I63" s="224">
        <v>100000</v>
      </c>
      <c r="J63" s="225">
        <v>0</v>
      </c>
      <c r="K63" s="225">
        <f>P63</f>
        <v>20000</v>
      </c>
      <c r="L63" s="225">
        <v>0</v>
      </c>
      <c r="M63" s="225">
        <v>0</v>
      </c>
      <c r="N63" s="225">
        <v>0</v>
      </c>
      <c r="O63" s="225">
        <v>0</v>
      </c>
      <c r="P63" s="220">
        <v>20000</v>
      </c>
    </row>
    <row r="64" spans="1:16" ht="45.75" customHeight="1" thickBot="1">
      <c r="A64" s="187" t="s">
        <v>156</v>
      </c>
      <c r="B64" s="188" t="s">
        <v>157</v>
      </c>
      <c r="C64" s="189">
        <f aca="true" t="shared" si="34" ref="C64:H64">SUM(C65+C74+C78+C81+C84)</f>
        <v>7069540.7185</v>
      </c>
      <c r="D64" s="189">
        <f t="shared" si="34"/>
        <v>4360260.7828</v>
      </c>
      <c r="E64" s="189">
        <f t="shared" si="34"/>
        <v>2089500.0002</v>
      </c>
      <c r="F64" s="189">
        <f t="shared" si="34"/>
        <v>30808041.8285</v>
      </c>
      <c r="G64" s="189">
        <f t="shared" si="34"/>
        <v>206000</v>
      </c>
      <c r="H64" s="189">
        <f t="shared" si="34"/>
        <v>794800</v>
      </c>
      <c r="I64" s="189">
        <f>SUM(C64:H64)</f>
        <v>45328143.33</v>
      </c>
      <c r="J64" s="189">
        <f aca="true" t="shared" si="35" ref="J64:O64">SUM(J65+J74+J78+J81+J84)</f>
        <v>564131.9151</v>
      </c>
      <c r="K64" s="189">
        <f t="shared" si="35"/>
        <v>1502504.834</v>
      </c>
      <c r="L64" s="189">
        <f t="shared" si="35"/>
        <v>537633.3334</v>
      </c>
      <c r="M64" s="189">
        <f t="shared" si="35"/>
        <v>4939730.4675</v>
      </c>
      <c r="N64" s="189">
        <f t="shared" si="35"/>
        <v>51500</v>
      </c>
      <c r="O64" s="189">
        <f t="shared" si="35"/>
        <v>196700</v>
      </c>
      <c r="P64" s="186">
        <f>SUM(J64:O64)</f>
        <v>7792200.550000001</v>
      </c>
    </row>
    <row r="65" spans="1:16" ht="36.75" customHeight="1" thickBot="1">
      <c r="A65" s="199" t="s">
        <v>158</v>
      </c>
      <c r="B65" s="200" t="s">
        <v>253</v>
      </c>
      <c r="C65" s="192">
        <f aca="true" t="shared" si="36" ref="C65:H65">SUM(C66,C67,C68,C69,C70,C71,C72,C73)</f>
        <v>6358740.7185</v>
      </c>
      <c r="D65" s="192">
        <f t="shared" si="36"/>
        <v>3198328.5828</v>
      </c>
      <c r="E65" s="192">
        <f t="shared" si="36"/>
        <v>1233900.0002</v>
      </c>
      <c r="F65" s="192">
        <f t="shared" si="36"/>
        <v>28496826.0285</v>
      </c>
      <c r="G65" s="192">
        <f t="shared" si="36"/>
        <v>0</v>
      </c>
      <c r="H65" s="192">
        <f t="shared" si="36"/>
        <v>314800</v>
      </c>
      <c r="I65" s="192">
        <f>SUM(C65:H65)</f>
        <v>39602595.33</v>
      </c>
      <c r="J65" s="192">
        <f aca="true" t="shared" si="37" ref="J65:O65">SUM(J66:J73)</f>
        <v>386431.9151</v>
      </c>
      <c r="K65" s="192">
        <f t="shared" si="37"/>
        <v>1213490.284</v>
      </c>
      <c r="L65" s="192">
        <f t="shared" si="37"/>
        <v>323733.3334</v>
      </c>
      <c r="M65" s="192">
        <f t="shared" si="37"/>
        <v>4370248.0175</v>
      </c>
      <c r="N65" s="192">
        <f t="shared" si="37"/>
        <v>0</v>
      </c>
      <c r="O65" s="192">
        <f t="shared" si="37"/>
        <v>78200</v>
      </c>
      <c r="P65" s="186">
        <f>SUM(J65:O65)</f>
        <v>6372103.55</v>
      </c>
    </row>
    <row r="66" spans="1:16" ht="13.5" thickBot="1">
      <c r="A66" s="226"/>
      <c r="B66" s="226" t="s">
        <v>387</v>
      </c>
      <c r="C66" s="228">
        <v>256260</v>
      </c>
      <c r="D66" s="228">
        <v>768780</v>
      </c>
      <c r="E66" s="228">
        <v>512520</v>
      </c>
      <c r="F66" s="228">
        <v>3587640</v>
      </c>
      <c r="G66" s="228">
        <v>0</v>
      </c>
      <c r="H66" s="228">
        <v>0</v>
      </c>
      <c r="I66" s="195">
        <f aca="true" t="shared" si="38" ref="I66:I73">SUM(C66:H66)</f>
        <v>5125200</v>
      </c>
      <c r="J66" s="227">
        <v>61380</v>
      </c>
      <c r="K66" s="227">
        <v>184140</v>
      </c>
      <c r="L66" s="227">
        <v>122760</v>
      </c>
      <c r="M66" s="227">
        <v>859320</v>
      </c>
      <c r="N66" s="227">
        <v>0</v>
      </c>
      <c r="O66" s="227">
        <v>0</v>
      </c>
      <c r="P66" s="186">
        <f aca="true" t="shared" si="39" ref="P66:P73">SUM(J66:O66)</f>
        <v>1227600</v>
      </c>
    </row>
    <row r="67" spans="1:16" ht="39" thickBot="1">
      <c r="A67" s="226"/>
      <c r="B67" s="226" t="s">
        <v>388</v>
      </c>
      <c r="C67" s="228">
        <v>629600</v>
      </c>
      <c r="D67" s="228">
        <v>629600</v>
      </c>
      <c r="E67" s="228">
        <v>314800</v>
      </c>
      <c r="F67" s="228">
        <v>1259200</v>
      </c>
      <c r="G67" s="228">
        <v>0</v>
      </c>
      <c r="H67" s="228">
        <v>314800</v>
      </c>
      <c r="I67" s="195">
        <f t="shared" si="38"/>
        <v>3148000</v>
      </c>
      <c r="J67" s="228">
        <v>156400</v>
      </c>
      <c r="K67" s="228">
        <v>156400</v>
      </c>
      <c r="L67" s="228">
        <v>78200</v>
      </c>
      <c r="M67" s="228">
        <v>312800</v>
      </c>
      <c r="N67" s="228">
        <v>0</v>
      </c>
      <c r="O67" s="228">
        <v>78200</v>
      </c>
      <c r="P67" s="186">
        <f t="shared" si="39"/>
        <v>782000</v>
      </c>
    </row>
    <row r="68" spans="1:16" ht="39" thickBot="1">
      <c r="A68" s="226"/>
      <c r="B68" s="229" t="s">
        <v>389</v>
      </c>
      <c r="C68" s="228">
        <v>2949500</v>
      </c>
      <c r="D68" s="228">
        <v>173500</v>
      </c>
      <c r="E68" s="228">
        <v>173500</v>
      </c>
      <c r="F68" s="228">
        <v>173500</v>
      </c>
      <c r="G68" s="228">
        <v>0</v>
      </c>
      <c r="H68" s="228">
        <v>0</v>
      </c>
      <c r="I68" s="195">
        <f t="shared" si="38"/>
        <v>3470000</v>
      </c>
      <c r="J68" s="228">
        <v>46750</v>
      </c>
      <c r="K68" s="228">
        <v>46750</v>
      </c>
      <c r="L68" s="228">
        <v>46750</v>
      </c>
      <c r="M68" s="228">
        <v>794750</v>
      </c>
      <c r="N68" s="228">
        <v>0</v>
      </c>
      <c r="O68" s="228">
        <v>0</v>
      </c>
      <c r="P68" s="186">
        <f t="shared" si="39"/>
        <v>935000</v>
      </c>
    </row>
    <row r="69" spans="1:16" ht="26.25" thickBot="1">
      <c r="A69" s="226"/>
      <c r="B69" s="226" t="s">
        <v>812</v>
      </c>
      <c r="C69" s="228">
        <v>0</v>
      </c>
      <c r="D69" s="228">
        <v>81120</v>
      </c>
      <c r="E69" s="228">
        <v>70980</v>
      </c>
      <c r="F69" s="228">
        <v>861900</v>
      </c>
      <c r="G69" s="228">
        <v>0</v>
      </c>
      <c r="H69" s="228">
        <v>0</v>
      </c>
      <c r="I69" s="195">
        <f t="shared" si="38"/>
        <v>1014000</v>
      </c>
      <c r="J69" s="227">
        <v>0</v>
      </c>
      <c r="K69" s="227">
        <v>40560</v>
      </c>
      <c r="L69" s="227">
        <v>35490</v>
      </c>
      <c r="M69" s="227">
        <v>430950</v>
      </c>
      <c r="N69" s="227">
        <v>0</v>
      </c>
      <c r="O69" s="227">
        <v>0</v>
      </c>
      <c r="P69" s="186">
        <f t="shared" si="39"/>
        <v>507000</v>
      </c>
    </row>
    <row r="70" spans="1:16" ht="13.5" thickBot="1">
      <c r="A70" s="226"/>
      <c r="B70" s="229" t="s">
        <v>663</v>
      </c>
      <c r="C70" s="228">
        <v>393633.40800000005</v>
      </c>
      <c r="D70" s="228">
        <v>449866.75200000004</v>
      </c>
      <c r="E70" s="228">
        <v>0</v>
      </c>
      <c r="F70" s="228">
        <v>4779834.24</v>
      </c>
      <c r="G70" s="228">
        <v>0</v>
      </c>
      <c r="H70" s="228">
        <v>0</v>
      </c>
      <c r="I70" s="195">
        <f t="shared" si="38"/>
        <v>5623334.4</v>
      </c>
      <c r="J70" s="227">
        <v>20568.5816</v>
      </c>
      <c r="K70" s="227">
        <v>23506.9504</v>
      </c>
      <c r="L70" s="227">
        <v>0</v>
      </c>
      <c r="M70" s="227">
        <v>249761.348</v>
      </c>
      <c r="N70" s="227">
        <v>0</v>
      </c>
      <c r="O70" s="227">
        <v>0</v>
      </c>
      <c r="P70" s="186">
        <f t="shared" si="39"/>
        <v>293836.88</v>
      </c>
    </row>
    <row r="71" spans="1:16" s="153" customFormat="1" ht="26.25" thickBot="1">
      <c r="A71" s="703"/>
      <c r="B71" s="703" t="s">
        <v>753</v>
      </c>
      <c r="C71" s="710">
        <v>1476247.31</v>
      </c>
      <c r="D71" s="710">
        <v>369061.83</v>
      </c>
      <c r="E71" s="710">
        <v>0</v>
      </c>
      <c r="F71" s="710">
        <v>10456751.78</v>
      </c>
      <c r="G71" s="710">
        <v>0</v>
      </c>
      <c r="H71" s="710">
        <v>0</v>
      </c>
      <c r="I71" s="195">
        <f>SUM(C71:H71)</f>
        <v>12302060.92</v>
      </c>
      <c r="J71" s="704">
        <v>0</v>
      </c>
      <c r="K71" s="704">
        <v>360000</v>
      </c>
      <c r="L71" s="704">
        <v>0</v>
      </c>
      <c r="M71" s="704">
        <v>0</v>
      </c>
      <c r="N71" s="704">
        <v>0</v>
      </c>
      <c r="O71" s="704">
        <v>0</v>
      </c>
      <c r="P71" s="195">
        <f t="shared" si="39"/>
        <v>360000</v>
      </c>
    </row>
    <row r="72" spans="1:16" s="153" customFormat="1" ht="13.5" thickBot="1">
      <c r="A72" s="703"/>
      <c r="B72" s="703" t="s">
        <v>662</v>
      </c>
      <c r="C72" s="704">
        <v>349500</v>
      </c>
      <c r="D72" s="704">
        <v>240000</v>
      </c>
      <c r="E72" s="704">
        <v>40500</v>
      </c>
      <c r="F72" s="704">
        <v>2210000</v>
      </c>
      <c r="G72" s="704">
        <v>0</v>
      </c>
      <c r="H72" s="704">
        <v>0</v>
      </c>
      <c r="I72" s="195">
        <f t="shared" si="38"/>
        <v>2840000</v>
      </c>
      <c r="J72" s="704">
        <v>0</v>
      </c>
      <c r="K72" s="704">
        <v>240000</v>
      </c>
      <c r="L72" s="704">
        <v>0</v>
      </c>
      <c r="M72" s="704">
        <v>0</v>
      </c>
      <c r="N72" s="704">
        <v>0</v>
      </c>
      <c r="O72" s="704">
        <v>0</v>
      </c>
      <c r="P72" s="195">
        <f t="shared" si="39"/>
        <v>240000</v>
      </c>
    </row>
    <row r="73" spans="1:16" ht="13.5" thickBot="1">
      <c r="A73" s="226"/>
      <c r="B73" s="229" t="s">
        <v>661</v>
      </c>
      <c r="C73" s="228">
        <v>304000.0005</v>
      </c>
      <c r="D73" s="228">
        <v>486400.0008</v>
      </c>
      <c r="E73" s="228">
        <v>121600.0002</v>
      </c>
      <c r="F73" s="228">
        <v>5168000.0084999995</v>
      </c>
      <c r="G73" s="228">
        <v>0</v>
      </c>
      <c r="H73" s="228">
        <v>0</v>
      </c>
      <c r="I73" s="195">
        <f t="shared" si="38"/>
        <v>6080000.01</v>
      </c>
      <c r="J73" s="228">
        <v>101333.33350000001</v>
      </c>
      <c r="K73" s="228">
        <v>162133.33359999998</v>
      </c>
      <c r="L73" s="228">
        <v>40533.333399999996</v>
      </c>
      <c r="M73" s="228">
        <v>1722666.6694999998</v>
      </c>
      <c r="N73" s="228">
        <v>0</v>
      </c>
      <c r="O73" s="228">
        <v>0</v>
      </c>
      <c r="P73" s="186">
        <f t="shared" si="39"/>
        <v>2026666.67</v>
      </c>
    </row>
    <row r="74" spans="1:16" ht="26.25" thickBot="1">
      <c r="A74" s="199" t="s">
        <v>160</v>
      </c>
      <c r="B74" s="200" t="s">
        <v>161</v>
      </c>
      <c r="C74" s="192">
        <f>SUM(C75:C77)</f>
        <v>0</v>
      </c>
      <c r="D74" s="192">
        <f aca="true" t="shared" si="40" ref="D74:J74">SUM(D75:D77)</f>
        <v>32332.2</v>
      </c>
      <c r="E74" s="192">
        <f t="shared" si="40"/>
        <v>0</v>
      </c>
      <c r="F74" s="192">
        <f t="shared" si="40"/>
        <v>183215.8</v>
      </c>
      <c r="G74" s="192">
        <f t="shared" si="40"/>
        <v>0</v>
      </c>
      <c r="H74" s="192">
        <f t="shared" si="40"/>
        <v>274000</v>
      </c>
      <c r="I74" s="192">
        <f aca="true" t="shared" si="41" ref="I74:I84">SUM(C74:H74)</f>
        <v>489548</v>
      </c>
      <c r="J74" s="192">
        <f t="shared" si="40"/>
        <v>0</v>
      </c>
      <c r="K74" s="192">
        <f aca="true" t="shared" si="42" ref="K74:P74">SUM(K75:K77)</f>
        <v>6614.55</v>
      </c>
      <c r="L74" s="192">
        <f t="shared" si="42"/>
        <v>0</v>
      </c>
      <c r="M74" s="192">
        <f t="shared" si="42"/>
        <v>37482.45</v>
      </c>
      <c r="N74" s="192">
        <f t="shared" si="42"/>
        <v>0</v>
      </c>
      <c r="O74" s="192">
        <f t="shared" si="42"/>
        <v>67000</v>
      </c>
      <c r="P74" s="186">
        <f t="shared" si="42"/>
        <v>111097</v>
      </c>
    </row>
    <row r="75" spans="1:16" ht="26.25" thickBot="1">
      <c r="A75" s="226"/>
      <c r="B75" s="226" t="s">
        <v>390</v>
      </c>
      <c r="C75" s="228">
        <v>0</v>
      </c>
      <c r="D75" s="228">
        <v>32332.2</v>
      </c>
      <c r="E75" s="228">
        <v>0</v>
      </c>
      <c r="F75" s="228">
        <v>183215.8</v>
      </c>
      <c r="G75" s="228">
        <v>0</v>
      </c>
      <c r="H75" s="228">
        <v>0</v>
      </c>
      <c r="I75" s="195">
        <f t="shared" si="41"/>
        <v>215548</v>
      </c>
      <c r="J75" s="227">
        <v>0</v>
      </c>
      <c r="K75" s="227">
        <v>6614.55</v>
      </c>
      <c r="L75" s="227">
        <v>0</v>
      </c>
      <c r="M75" s="227">
        <v>37482.45</v>
      </c>
      <c r="N75" s="227">
        <v>0</v>
      </c>
      <c r="O75" s="227">
        <v>0</v>
      </c>
      <c r="P75" s="186">
        <f aca="true" t="shared" si="43" ref="P75:P85">SUM(J75:O75)</f>
        <v>44097</v>
      </c>
    </row>
    <row r="76" spans="1:16" ht="26.25" thickBot="1">
      <c r="A76" s="226"/>
      <c r="B76" s="226" t="s">
        <v>391</v>
      </c>
      <c r="C76" s="228">
        <v>0</v>
      </c>
      <c r="D76" s="228">
        <v>0</v>
      </c>
      <c r="E76" s="228">
        <v>0</v>
      </c>
      <c r="F76" s="228">
        <v>0</v>
      </c>
      <c r="G76" s="228">
        <v>0</v>
      </c>
      <c r="H76" s="228">
        <v>34000</v>
      </c>
      <c r="I76" s="195">
        <f t="shared" si="41"/>
        <v>34000</v>
      </c>
      <c r="J76" s="227">
        <v>0</v>
      </c>
      <c r="K76" s="227">
        <v>0</v>
      </c>
      <c r="L76" s="227">
        <v>0</v>
      </c>
      <c r="M76" s="227">
        <v>0</v>
      </c>
      <c r="N76" s="227">
        <v>0</v>
      </c>
      <c r="O76" s="227">
        <v>7000</v>
      </c>
      <c r="P76" s="186">
        <f t="shared" si="43"/>
        <v>7000</v>
      </c>
    </row>
    <row r="77" spans="1:16" ht="26.25" thickBot="1">
      <c r="A77" s="226"/>
      <c r="B77" s="226" t="s">
        <v>392</v>
      </c>
      <c r="C77" s="228">
        <v>0</v>
      </c>
      <c r="D77" s="228">
        <v>0</v>
      </c>
      <c r="E77" s="228">
        <v>0</v>
      </c>
      <c r="F77" s="228">
        <v>0</v>
      </c>
      <c r="G77" s="228">
        <v>0</v>
      </c>
      <c r="H77" s="228">
        <v>240000</v>
      </c>
      <c r="I77" s="195">
        <f t="shared" si="41"/>
        <v>240000</v>
      </c>
      <c r="J77" s="227">
        <v>0</v>
      </c>
      <c r="K77" s="227">
        <v>0</v>
      </c>
      <c r="L77" s="227">
        <v>0</v>
      </c>
      <c r="M77" s="227">
        <v>0</v>
      </c>
      <c r="N77" s="227">
        <v>0</v>
      </c>
      <c r="O77" s="227">
        <v>60000</v>
      </c>
      <c r="P77" s="186">
        <f t="shared" si="43"/>
        <v>60000</v>
      </c>
    </row>
    <row r="78" spans="1:16" ht="39" thickBot="1">
      <c r="A78" s="199" t="s">
        <v>162</v>
      </c>
      <c r="B78" s="200" t="s">
        <v>163</v>
      </c>
      <c r="C78" s="192">
        <f>SUM(C79:C80)</f>
        <v>0</v>
      </c>
      <c r="D78" s="192">
        <f aca="true" t="shared" si="44" ref="D78:J78">SUM(D79:D80)</f>
        <v>108000</v>
      </c>
      <c r="E78" s="192">
        <f t="shared" si="44"/>
        <v>0</v>
      </c>
      <c r="F78" s="192">
        <f t="shared" si="44"/>
        <v>0</v>
      </c>
      <c r="G78" s="192">
        <f t="shared" si="44"/>
        <v>0</v>
      </c>
      <c r="H78" s="192">
        <f t="shared" si="44"/>
        <v>0</v>
      </c>
      <c r="I78" s="192">
        <f>SUM(C78:H78)</f>
        <v>108000</v>
      </c>
      <c r="J78" s="192">
        <f t="shared" si="44"/>
        <v>0</v>
      </c>
      <c r="K78" s="192">
        <f>SUM(K79:K80)</f>
        <v>27000</v>
      </c>
      <c r="L78" s="192">
        <f>SUM(L79:L80)</f>
        <v>0</v>
      </c>
      <c r="M78" s="192">
        <f>SUM(M79:M80)</f>
        <v>0</v>
      </c>
      <c r="N78" s="192">
        <f>SUM(N79:N80)</f>
        <v>0</v>
      </c>
      <c r="O78" s="192">
        <f>SUM(O79:O80)</f>
        <v>0</v>
      </c>
      <c r="P78" s="186">
        <f t="shared" si="43"/>
        <v>27000</v>
      </c>
    </row>
    <row r="79" spans="1:16" ht="26.25" thickBot="1">
      <c r="A79" s="226"/>
      <c r="B79" s="226" t="s">
        <v>393</v>
      </c>
      <c r="C79" s="228">
        <v>0</v>
      </c>
      <c r="D79" s="228">
        <v>80000</v>
      </c>
      <c r="E79" s="228">
        <v>0</v>
      </c>
      <c r="F79" s="228">
        <v>0</v>
      </c>
      <c r="G79" s="228">
        <v>0</v>
      </c>
      <c r="H79" s="227">
        <v>0</v>
      </c>
      <c r="I79" s="195">
        <f t="shared" si="41"/>
        <v>80000</v>
      </c>
      <c r="J79" s="227">
        <v>0</v>
      </c>
      <c r="K79" s="227">
        <v>20000</v>
      </c>
      <c r="L79" s="227">
        <v>0</v>
      </c>
      <c r="M79" s="227">
        <v>0</v>
      </c>
      <c r="N79" s="227">
        <v>0</v>
      </c>
      <c r="O79" s="227">
        <v>0</v>
      </c>
      <c r="P79" s="186">
        <f t="shared" si="43"/>
        <v>20000</v>
      </c>
    </row>
    <row r="80" spans="1:16" ht="26.25" thickBot="1">
      <c r="A80" s="226"/>
      <c r="B80" s="226" t="s">
        <v>394</v>
      </c>
      <c r="C80" s="228">
        <v>0</v>
      </c>
      <c r="D80" s="228">
        <v>28000</v>
      </c>
      <c r="E80" s="228">
        <v>0</v>
      </c>
      <c r="F80" s="228">
        <v>0</v>
      </c>
      <c r="G80" s="228">
        <v>0</v>
      </c>
      <c r="H80" s="227">
        <v>0</v>
      </c>
      <c r="I80" s="195">
        <f t="shared" si="41"/>
        <v>28000</v>
      </c>
      <c r="J80" s="227">
        <v>0</v>
      </c>
      <c r="K80" s="227">
        <v>7000</v>
      </c>
      <c r="L80" s="227">
        <v>0</v>
      </c>
      <c r="M80" s="227">
        <v>0</v>
      </c>
      <c r="N80" s="227">
        <v>0</v>
      </c>
      <c r="O80" s="227">
        <v>0</v>
      </c>
      <c r="P80" s="186">
        <f t="shared" si="43"/>
        <v>7000</v>
      </c>
    </row>
    <row r="81" spans="1:16" ht="26.25" thickBot="1">
      <c r="A81" s="199" t="s">
        <v>164</v>
      </c>
      <c r="B81" s="200" t="s">
        <v>165</v>
      </c>
      <c r="C81" s="192">
        <f>SUM(C82:C83)</f>
        <v>618000</v>
      </c>
      <c r="D81" s="192">
        <f aca="true" t="shared" si="45" ref="D81:J81">SUM(D82:D83)</f>
        <v>836000</v>
      </c>
      <c r="E81" s="192">
        <f t="shared" si="45"/>
        <v>206000</v>
      </c>
      <c r="F81" s="192">
        <f t="shared" si="45"/>
        <v>2128000</v>
      </c>
      <c r="G81" s="192">
        <f t="shared" si="45"/>
        <v>206000</v>
      </c>
      <c r="H81" s="192">
        <f t="shared" si="45"/>
        <v>206000</v>
      </c>
      <c r="I81" s="192">
        <f t="shared" si="41"/>
        <v>4200000</v>
      </c>
      <c r="J81" s="192">
        <f t="shared" si="45"/>
        <v>154500</v>
      </c>
      <c r="K81" s="192">
        <f>SUM(K82:K83)</f>
        <v>209000</v>
      </c>
      <c r="L81" s="192">
        <f>SUM(L82:L83)</f>
        <v>51500</v>
      </c>
      <c r="M81" s="192">
        <f>SUM(M82:M83)</f>
        <v>532000</v>
      </c>
      <c r="N81" s="192">
        <f>SUM(N82:N83)</f>
        <v>51500</v>
      </c>
      <c r="O81" s="192">
        <f>SUM(O82:O83)</f>
        <v>51500</v>
      </c>
      <c r="P81" s="186">
        <f t="shared" si="43"/>
        <v>1050000</v>
      </c>
    </row>
    <row r="82" spans="1:16" ht="13.5" thickBot="1">
      <c r="A82" s="226"/>
      <c r="B82" s="229" t="s">
        <v>395</v>
      </c>
      <c r="C82" s="228">
        <v>618000</v>
      </c>
      <c r="D82" s="228">
        <v>824000</v>
      </c>
      <c r="E82" s="228">
        <v>206000</v>
      </c>
      <c r="F82" s="228">
        <v>2060000</v>
      </c>
      <c r="G82" s="228">
        <v>206000</v>
      </c>
      <c r="H82" s="228">
        <v>206000</v>
      </c>
      <c r="I82" s="195">
        <f>SUM(C82:H82)</f>
        <v>4120000</v>
      </c>
      <c r="J82" s="227">
        <v>154500</v>
      </c>
      <c r="K82" s="227">
        <v>206000</v>
      </c>
      <c r="L82" s="227">
        <v>51500</v>
      </c>
      <c r="M82" s="227">
        <v>515000</v>
      </c>
      <c r="N82" s="227">
        <v>51500</v>
      </c>
      <c r="O82" s="227">
        <v>51500</v>
      </c>
      <c r="P82" s="186">
        <f t="shared" si="43"/>
        <v>1030000</v>
      </c>
    </row>
    <row r="83" spans="1:16" ht="39" thickBot="1">
      <c r="A83" s="226"/>
      <c r="B83" s="226" t="s">
        <v>396</v>
      </c>
      <c r="C83" s="228">
        <v>0</v>
      </c>
      <c r="D83" s="228">
        <v>12000</v>
      </c>
      <c r="E83" s="228">
        <v>0</v>
      </c>
      <c r="F83" s="228">
        <v>68000</v>
      </c>
      <c r="G83" s="228">
        <v>0</v>
      </c>
      <c r="H83" s="227">
        <v>0</v>
      </c>
      <c r="I83" s="195">
        <f t="shared" si="41"/>
        <v>80000</v>
      </c>
      <c r="J83" s="227">
        <v>0</v>
      </c>
      <c r="K83" s="227">
        <v>3000</v>
      </c>
      <c r="L83" s="227">
        <v>0</v>
      </c>
      <c r="M83" s="227">
        <v>17000</v>
      </c>
      <c r="N83" s="227">
        <v>0</v>
      </c>
      <c r="O83" s="227">
        <v>0</v>
      </c>
      <c r="P83" s="186">
        <f t="shared" si="43"/>
        <v>20000</v>
      </c>
    </row>
    <row r="84" spans="1:16" ht="26.25" thickBot="1">
      <c r="A84" s="199" t="s">
        <v>166</v>
      </c>
      <c r="B84" s="200" t="s">
        <v>167</v>
      </c>
      <c r="C84" s="192">
        <f>SUM(C85)</f>
        <v>92800</v>
      </c>
      <c r="D84" s="192">
        <f aca="true" t="shared" si="46" ref="D84:J84">SUM(D85)</f>
        <v>185600</v>
      </c>
      <c r="E84" s="192">
        <f t="shared" si="46"/>
        <v>649600</v>
      </c>
      <c r="F84" s="192">
        <f t="shared" si="46"/>
        <v>0</v>
      </c>
      <c r="G84" s="192">
        <f t="shared" si="46"/>
        <v>0</v>
      </c>
      <c r="H84" s="192">
        <f t="shared" si="46"/>
        <v>0</v>
      </c>
      <c r="I84" s="192">
        <f t="shared" si="41"/>
        <v>928000</v>
      </c>
      <c r="J84" s="192">
        <f t="shared" si="46"/>
        <v>23200</v>
      </c>
      <c r="K84" s="192">
        <f>SUM(K85)</f>
        <v>46400</v>
      </c>
      <c r="L84" s="192">
        <f>SUM(L85)</f>
        <v>162400</v>
      </c>
      <c r="M84" s="192">
        <f>SUM(M85)</f>
        <v>0</v>
      </c>
      <c r="N84" s="192">
        <f>SUM(N85)</f>
        <v>0</v>
      </c>
      <c r="O84" s="192">
        <f>SUM(O85)</f>
        <v>0</v>
      </c>
      <c r="P84" s="186">
        <f t="shared" si="43"/>
        <v>232000</v>
      </c>
    </row>
    <row r="85" spans="1:16" ht="30" customHeight="1" thickBot="1">
      <c r="A85" s="226"/>
      <c r="B85" s="226" t="s">
        <v>397</v>
      </c>
      <c r="C85" s="228">
        <v>92800</v>
      </c>
      <c r="D85" s="228">
        <v>185600</v>
      </c>
      <c r="E85" s="228">
        <v>649600</v>
      </c>
      <c r="F85" s="228">
        <v>0</v>
      </c>
      <c r="G85" s="228">
        <v>0</v>
      </c>
      <c r="H85" s="227">
        <v>0</v>
      </c>
      <c r="I85" s="230">
        <v>696000</v>
      </c>
      <c r="J85" s="227">
        <v>23200</v>
      </c>
      <c r="K85" s="227">
        <v>46400</v>
      </c>
      <c r="L85" s="227">
        <v>162400</v>
      </c>
      <c r="M85" s="227">
        <v>0</v>
      </c>
      <c r="N85" s="227">
        <v>0</v>
      </c>
      <c r="O85" s="227">
        <v>0</v>
      </c>
      <c r="P85" s="186">
        <f t="shared" si="43"/>
        <v>232000</v>
      </c>
    </row>
    <row r="86" spans="1:16" ht="28.5" customHeight="1" thickBot="1">
      <c r="A86" s="183" t="s">
        <v>75</v>
      </c>
      <c r="B86" s="184" t="s">
        <v>168</v>
      </c>
      <c r="C86" s="185">
        <f aca="true" t="shared" si="47" ref="C86:P86">SUM(C87+C114+C127+C134+C142)</f>
        <v>70746811</v>
      </c>
      <c r="D86" s="185">
        <f t="shared" si="47"/>
        <v>91384098.62</v>
      </c>
      <c r="E86" s="185">
        <f t="shared" si="47"/>
        <v>139066830</v>
      </c>
      <c r="F86" s="185">
        <f t="shared" si="47"/>
        <v>174442442.77</v>
      </c>
      <c r="G86" s="185">
        <f t="shared" si="47"/>
        <v>155000</v>
      </c>
      <c r="H86" s="185">
        <f t="shared" si="47"/>
        <v>5954462.4</v>
      </c>
      <c r="I86" s="185">
        <f t="shared" si="47"/>
        <v>481749644.79</v>
      </c>
      <c r="J86" s="185">
        <f t="shared" si="47"/>
        <v>15629048.81</v>
      </c>
      <c r="K86" s="185">
        <f t="shared" si="47"/>
        <v>26357852.7</v>
      </c>
      <c r="L86" s="185">
        <f t="shared" si="47"/>
        <v>52744512</v>
      </c>
      <c r="M86" s="185">
        <f t="shared" si="47"/>
        <v>36378810.76</v>
      </c>
      <c r="N86" s="185">
        <f t="shared" si="47"/>
        <v>37500</v>
      </c>
      <c r="O86" s="185">
        <f t="shared" si="47"/>
        <v>1325235.2</v>
      </c>
      <c r="P86" s="185">
        <f t="shared" si="47"/>
        <v>132472959.47</v>
      </c>
    </row>
    <row r="87" spans="1:16" ht="40.5" customHeight="1" thickBot="1">
      <c r="A87" s="187" t="s">
        <v>643</v>
      </c>
      <c r="B87" s="188" t="s">
        <v>170</v>
      </c>
      <c r="C87" s="189">
        <f aca="true" t="shared" si="48" ref="C87:H87">SUM(C88+C90+C104+C107+C109+C111)</f>
        <v>43007301</v>
      </c>
      <c r="D87" s="189">
        <f t="shared" si="48"/>
        <v>39580825</v>
      </c>
      <c r="E87" s="189">
        <f t="shared" si="48"/>
        <v>67876042</v>
      </c>
      <c r="F87" s="189">
        <f t="shared" si="48"/>
        <v>75556952</v>
      </c>
      <c r="G87" s="189">
        <f t="shared" si="48"/>
        <v>150000</v>
      </c>
      <c r="H87" s="189">
        <f t="shared" si="48"/>
        <v>353480</v>
      </c>
      <c r="I87" s="189">
        <f>SUM(C87:H87)</f>
        <v>226524600</v>
      </c>
      <c r="J87" s="189">
        <f aca="true" t="shared" si="49" ref="J87:O87">SUM(J88+J90+J104+J107+J109+J111)</f>
        <v>10884000</v>
      </c>
      <c r="K87" s="189">
        <f t="shared" si="49"/>
        <v>16912400</v>
      </c>
      <c r="L87" s="189">
        <f t="shared" si="49"/>
        <v>34317264</v>
      </c>
      <c r="M87" s="189">
        <f t="shared" si="49"/>
        <v>16525496</v>
      </c>
      <c r="N87" s="189">
        <f t="shared" si="49"/>
        <v>37500</v>
      </c>
      <c r="O87" s="189">
        <f t="shared" si="49"/>
        <v>132660</v>
      </c>
      <c r="P87" s="186">
        <f>SUM(J87:O87)</f>
        <v>78809320</v>
      </c>
    </row>
    <row r="88" spans="1:16" ht="34.5" customHeight="1" thickBot="1">
      <c r="A88" s="190" t="s">
        <v>171</v>
      </c>
      <c r="B88" s="191" t="s">
        <v>172</v>
      </c>
      <c r="C88" s="192">
        <f aca="true" t="shared" si="50" ref="C88:H88">SUM(C89)</f>
        <v>0</v>
      </c>
      <c r="D88" s="192">
        <f t="shared" si="50"/>
        <v>153600</v>
      </c>
      <c r="E88" s="192">
        <f t="shared" si="50"/>
        <v>0</v>
      </c>
      <c r="F88" s="192">
        <f t="shared" si="50"/>
        <v>0</v>
      </c>
      <c r="G88" s="192">
        <f t="shared" si="50"/>
        <v>0</v>
      </c>
      <c r="H88" s="192">
        <f t="shared" si="50"/>
        <v>0</v>
      </c>
      <c r="I88" s="192">
        <f>SUM(C88:H88)</f>
        <v>153600</v>
      </c>
      <c r="J88" s="192">
        <f aca="true" t="shared" si="51" ref="J88:P88">SUM(J89)</f>
        <v>0</v>
      </c>
      <c r="K88" s="192">
        <f t="shared" si="51"/>
        <v>38400</v>
      </c>
      <c r="L88" s="192">
        <f t="shared" si="51"/>
        <v>0</v>
      </c>
      <c r="M88" s="192">
        <f t="shared" si="51"/>
        <v>0</v>
      </c>
      <c r="N88" s="192">
        <f t="shared" si="51"/>
        <v>0</v>
      </c>
      <c r="O88" s="186">
        <f t="shared" si="51"/>
        <v>0</v>
      </c>
      <c r="P88" s="186">
        <f t="shared" si="51"/>
        <v>38400</v>
      </c>
    </row>
    <row r="89" spans="1:16" ht="39" thickBot="1">
      <c r="A89" s="193"/>
      <c r="B89" s="193" t="s">
        <v>400</v>
      </c>
      <c r="C89" s="526">
        <v>0</v>
      </c>
      <c r="D89" s="526">
        <v>153600</v>
      </c>
      <c r="E89" s="526">
        <v>0</v>
      </c>
      <c r="F89" s="526">
        <v>0</v>
      </c>
      <c r="G89" s="526">
        <v>0</v>
      </c>
      <c r="H89" s="526">
        <v>0</v>
      </c>
      <c r="I89" s="195">
        <f>SUM(C89:H89)</f>
        <v>153600</v>
      </c>
      <c r="J89" s="194">
        <v>0</v>
      </c>
      <c r="K89" s="194">
        <v>38400</v>
      </c>
      <c r="L89" s="194">
        <v>0</v>
      </c>
      <c r="M89" s="194">
        <v>0</v>
      </c>
      <c r="N89" s="194">
        <v>0</v>
      </c>
      <c r="O89" s="194">
        <v>0</v>
      </c>
      <c r="P89" s="186">
        <f>SUM(J89:O89)</f>
        <v>38400</v>
      </c>
    </row>
    <row r="90" spans="1:16" ht="46.5" customHeight="1" thickBot="1">
      <c r="A90" s="190" t="s">
        <v>173</v>
      </c>
      <c r="B90" s="200" t="s">
        <v>254</v>
      </c>
      <c r="C90" s="192">
        <f aca="true" t="shared" si="52" ref="C90:H90">SUM(C91:C103)</f>
        <v>35245901</v>
      </c>
      <c r="D90" s="192">
        <f t="shared" si="52"/>
        <v>39427225</v>
      </c>
      <c r="E90" s="192">
        <f t="shared" si="52"/>
        <v>67876042</v>
      </c>
      <c r="F90" s="192">
        <f t="shared" si="52"/>
        <v>63064852</v>
      </c>
      <c r="G90" s="192">
        <f t="shared" si="52"/>
        <v>0</v>
      </c>
      <c r="H90" s="192">
        <f t="shared" si="52"/>
        <v>126000</v>
      </c>
      <c r="I90" s="192">
        <f>SUM(C90:H90)</f>
        <v>205740020</v>
      </c>
      <c r="J90" s="192">
        <f aca="true" t="shared" si="53" ref="J90:O90">SUM(J91:J103)</f>
        <v>9000000</v>
      </c>
      <c r="K90" s="192">
        <f t="shared" si="53"/>
        <v>16874000</v>
      </c>
      <c r="L90" s="192">
        <f t="shared" si="53"/>
        <v>34317264</v>
      </c>
      <c r="M90" s="192">
        <f t="shared" si="53"/>
        <v>13486996</v>
      </c>
      <c r="N90" s="192">
        <f t="shared" si="53"/>
        <v>0</v>
      </c>
      <c r="O90" s="192">
        <f t="shared" si="53"/>
        <v>84000</v>
      </c>
      <c r="P90" s="186">
        <f>SUM(J90:O90)</f>
        <v>73762260</v>
      </c>
    </row>
    <row r="91" spans="1:16" ht="26.25" thickBot="1">
      <c r="A91" s="193"/>
      <c r="B91" s="197" t="s">
        <v>401</v>
      </c>
      <c r="C91" s="194">
        <v>1000000</v>
      </c>
      <c r="D91" s="194">
        <v>1000000</v>
      </c>
      <c r="E91" s="194">
        <v>7000000</v>
      </c>
      <c r="F91" s="194">
        <v>0</v>
      </c>
      <c r="G91" s="194">
        <v>0</v>
      </c>
      <c r="H91" s="194">
        <v>0</v>
      </c>
      <c r="I91" s="195">
        <f aca="true" t="shared" si="54" ref="I91:I113">SUM(C91:H91)</f>
        <v>9000000</v>
      </c>
      <c r="J91" s="194">
        <v>1000000</v>
      </c>
      <c r="K91" s="194">
        <v>1000000</v>
      </c>
      <c r="L91" s="194">
        <v>7000000</v>
      </c>
      <c r="M91" s="194">
        <v>0</v>
      </c>
      <c r="N91" s="194">
        <v>0</v>
      </c>
      <c r="O91" s="194">
        <v>0</v>
      </c>
      <c r="P91" s="186">
        <f>SUM(J91:O91)</f>
        <v>9000000</v>
      </c>
    </row>
    <row r="92" spans="1:16" ht="26.25" thickBot="1">
      <c r="A92" s="193"/>
      <c r="B92" s="197" t="s">
        <v>402</v>
      </c>
      <c r="C92" s="194">
        <v>1000000</v>
      </c>
      <c r="D92" s="194">
        <v>1000000</v>
      </c>
      <c r="E92" s="194">
        <v>5000000</v>
      </c>
      <c r="F92" s="194">
        <v>0</v>
      </c>
      <c r="G92" s="194">
        <v>0</v>
      </c>
      <c r="H92" s="194">
        <v>0</v>
      </c>
      <c r="I92" s="195">
        <f t="shared" si="54"/>
        <v>7000000</v>
      </c>
      <c r="J92" s="194">
        <v>1000000</v>
      </c>
      <c r="K92" s="194">
        <v>1000000</v>
      </c>
      <c r="L92" s="194">
        <v>5000000</v>
      </c>
      <c r="M92" s="194">
        <v>0</v>
      </c>
      <c r="N92" s="194">
        <v>0</v>
      </c>
      <c r="O92" s="194">
        <v>0</v>
      </c>
      <c r="P92" s="186">
        <f aca="true" t="shared" si="55" ref="P92:P113">SUM(J92:O92)</f>
        <v>7000000</v>
      </c>
    </row>
    <row r="93" spans="1:16" ht="13.5" thickBot="1">
      <c r="A93" s="193"/>
      <c r="B93" s="197" t="s">
        <v>403</v>
      </c>
      <c r="C93" s="194">
        <v>0</v>
      </c>
      <c r="D93" s="194">
        <v>9394000</v>
      </c>
      <c r="E93" s="194">
        <v>0</v>
      </c>
      <c r="F93" s="194">
        <v>0</v>
      </c>
      <c r="G93" s="194">
        <v>0</v>
      </c>
      <c r="H93" s="194">
        <v>0</v>
      </c>
      <c r="I93" s="195">
        <f t="shared" si="54"/>
        <v>9394000</v>
      </c>
      <c r="J93" s="194">
        <v>0</v>
      </c>
      <c r="K93" s="194">
        <v>9394000</v>
      </c>
      <c r="L93" s="194">
        <v>0</v>
      </c>
      <c r="M93" s="194">
        <v>0</v>
      </c>
      <c r="N93" s="194">
        <v>0</v>
      </c>
      <c r="O93" s="194">
        <v>0</v>
      </c>
      <c r="P93" s="186">
        <f t="shared" si="55"/>
        <v>9394000</v>
      </c>
    </row>
    <row r="94" spans="1:16" ht="26.25" thickBot="1">
      <c r="A94" s="193"/>
      <c r="B94" s="197" t="s">
        <v>404</v>
      </c>
      <c r="C94" s="198">
        <v>1000000</v>
      </c>
      <c r="D94" s="198">
        <v>1000000</v>
      </c>
      <c r="E94" s="198">
        <v>6500000</v>
      </c>
      <c r="F94" s="198">
        <v>0</v>
      </c>
      <c r="G94" s="198">
        <v>0</v>
      </c>
      <c r="H94" s="198">
        <v>0</v>
      </c>
      <c r="I94" s="195">
        <f t="shared" si="54"/>
        <v>8500000</v>
      </c>
      <c r="J94" s="198">
        <v>1000000</v>
      </c>
      <c r="K94" s="198">
        <v>1000000</v>
      </c>
      <c r="L94" s="198">
        <v>6500000</v>
      </c>
      <c r="M94" s="198">
        <v>0</v>
      </c>
      <c r="N94" s="198">
        <v>0</v>
      </c>
      <c r="O94" s="198">
        <v>0</v>
      </c>
      <c r="P94" s="186">
        <f t="shared" si="55"/>
        <v>8500000</v>
      </c>
    </row>
    <row r="95" spans="1:16" ht="26.25" thickBot="1">
      <c r="A95" s="193"/>
      <c r="B95" s="197" t="s">
        <v>773</v>
      </c>
      <c r="C95" s="198">
        <v>1000000</v>
      </c>
      <c r="D95" s="198">
        <v>6000000</v>
      </c>
      <c r="E95" s="198">
        <v>0</v>
      </c>
      <c r="F95" s="198">
        <v>0</v>
      </c>
      <c r="G95" s="198">
        <v>0</v>
      </c>
      <c r="H95" s="198">
        <v>0</v>
      </c>
      <c r="I95" s="195">
        <f t="shared" si="54"/>
        <v>7000000</v>
      </c>
      <c r="J95" s="198">
        <v>0</v>
      </c>
      <c r="K95" s="198">
        <v>0</v>
      </c>
      <c r="L95" s="198">
        <v>0</v>
      </c>
      <c r="M95" s="198">
        <v>0</v>
      </c>
      <c r="N95" s="198">
        <v>0</v>
      </c>
      <c r="O95" s="198">
        <v>0</v>
      </c>
      <c r="P95" s="186">
        <f t="shared" si="55"/>
        <v>0</v>
      </c>
    </row>
    <row r="96" spans="1:16" ht="13.5" thickBot="1">
      <c r="A96" s="193"/>
      <c r="B96" s="197" t="s">
        <v>405</v>
      </c>
      <c r="C96" s="198">
        <v>30000000</v>
      </c>
      <c r="D96" s="198">
        <v>12000000</v>
      </c>
      <c r="E96" s="198">
        <v>18000000</v>
      </c>
      <c r="F96" s="198">
        <v>0</v>
      </c>
      <c r="G96" s="198">
        <v>0</v>
      </c>
      <c r="H96" s="198">
        <v>0</v>
      </c>
      <c r="I96" s="195">
        <f t="shared" si="54"/>
        <v>60000000</v>
      </c>
      <c r="J96" s="198">
        <v>5000000</v>
      </c>
      <c r="K96" s="198">
        <v>2000000</v>
      </c>
      <c r="L96" s="198">
        <v>3000000</v>
      </c>
      <c r="M96" s="198">
        <v>0</v>
      </c>
      <c r="N96" s="198">
        <v>0</v>
      </c>
      <c r="O96" s="198">
        <v>0</v>
      </c>
      <c r="P96" s="186">
        <f t="shared" si="55"/>
        <v>10000000</v>
      </c>
    </row>
    <row r="97" spans="1:16" ht="13.5" thickBot="1">
      <c r="A97" s="193"/>
      <c r="B97" s="193" t="s">
        <v>406</v>
      </c>
      <c r="C97" s="198">
        <v>0</v>
      </c>
      <c r="D97" s="198">
        <v>0</v>
      </c>
      <c r="E97" s="198">
        <v>0</v>
      </c>
      <c r="F97" s="198">
        <v>8874000</v>
      </c>
      <c r="G97" s="198">
        <v>0</v>
      </c>
      <c r="H97" s="198">
        <v>126000</v>
      </c>
      <c r="I97" s="195">
        <f t="shared" si="54"/>
        <v>9000000</v>
      </c>
      <c r="J97" s="198">
        <v>0</v>
      </c>
      <c r="K97" s="198">
        <v>0</v>
      </c>
      <c r="L97" s="198">
        <v>0</v>
      </c>
      <c r="M97" s="198">
        <v>5916000</v>
      </c>
      <c r="N97" s="198">
        <v>0</v>
      </c>
      <c r="O97" s="198">
        <v>84000</v>
      </c>
      <c r="P97" s="186">
        <f t="shared" si="55"/>
        <v>6000000</v>
      </c>
    </row>
    <row r="98" spans="1:16" ht="26.25" thickBot="1">
      <c r="A98" s="193"/>
      <c r="B98" s="197" t="s">
        <v>407</v>
      </c>
      <c r="C98" s="198">
        <v>0</v>
      </c>
      <c r="D98" s="198">
        <v>0</v>
      </c>
      <c r="E98" s="198">
        <v>10500000</v>
      </c>
      <c r="F98" s="198">
        <v>31500000</v>
      </c>
      <c r="G98" s="198">
        <v>0</v>
      </c>
      <c r="H98" s="198">
        <v>0</v>
      </c>
      <c r="I98" s="195">
        <f t="shared" si="54"/>
        <v>42000000</v>
      </c>
      <c r="J98" s="198">
        <v>0</v>
      </c>
      <c r="K98" s="231">
        <v>0</v>
      </c>
      <c r="L98" s="202">
        <v>7875000</v>
      </c>
      <c r="M98" s="198">
        <v>2625000</v>
      </c>
      <c r="N98" s="198">
        <v>0</v>
      </c>
      <c r="O98" s="198">
        <v>0</v>
      </c>
      <c r="P98" s="186">
        <f t="shared" si="55"/>
        <v>10500000</v>
      </c>
    </row>
    <row r="99" spans="1:16" ht="26.25" thickBot="1">
      <c r="A99" s="193"/>
      <c r="B99" s="193" t="s">
        <v>408</v>
      </c>
      <c r="C99" s="198">
        <v>0</v>
      </c>
      <c r="D99" s="198">
        <v>8001750</v>
      </c>
      <c r="E99" s="198">
        <v>18670750</v>
      </c>
      <c r="F99" s="198">
        <v>0</v>
      </c>
      <c r="G99" s="198">
        <v>0</v>
      </c>
      <c r="H99" s="198">
        <v>0</v>
      </c>
      <c r="I99" s="195">
        <f t="shared" si="54"/>
        <v>26672500</v>
      </c>
      <c r="J99" s="198">
        <v>0</v>
      </c>
      <c r="K99" s="198">
        <v>1950000</v>
      </c>
      <c r="L99" s="198">
        <v>4486500</v>
      </c>
      <c r="M99" s="198">
        <v>0</v>
      </c>
      <c r="N99" s="198">
        <v>0</v>
      </c>
      <c r="O99" s="198">
        <v>0</v>
      </c>
      <c r="P99" s="186">
        <f t="shared" si="55"/>
        <v>6436500</v>
      </c>
    </row>
    <row r="100" spans="1:16" ht="13.5" thickBot="1">
      <c r="A100" s="193"/>
      <c r="B100" s="193" t="s">
        <v>409</v>
      </c>
      <c r="C100" s="198">
        <v>1245901</v>
      </c>
      <c r="D100" s="198">
        <v>311475</v>
      </c>
      <c r="E100" s="198">
        <v>2205292</v>
      </c>
      <c r="F100" s="198">
        <v>20690852</v>
      </c>
      <c r="G100" s="198">
        <v>0</v>
      </c>
      <c r="H100" s="198">
        <v>0</v>
      </c>
      <c r="I100" s="195">
        <f t="shared" si="54"/>
        <v>24453520</v>
      </c>
      <c r="J100" s="198">
        <v>1000000</v>
      </c>
      <c r="K100" s="198">
        <v>350000</v>
      </c>
      <c r="L100" s="198">
        <v>455764</v>
      </c>
      <c r="M100" s="198">
        <v>4345996</v>
      </c>
      <c r="N100" s="198">
        <v>0</v>
      </c>
      <c r="O100" s="198">
        <v>0</v>
      </c>
      <c r="P100" s="186">
        <f t="shared" si="55"/>
        <v>6151760</v>
      </c>
    </row>
    <row r="101" spans="1:16" ht="39" thickBot="1">
      <c r="A101" s="193"/>
      <c r="B101" s="193" t="s">
        <v>410</v>
      </c>
      <c r="C101" s="198">
        <v>0</v>
      </c>
      <c r="D101" s="198">
        <v>720000</v>
      </c>
      <c r="E101" s="198">
        <v>0</v>
      </c>
      <c r="F101" s="198">
        <v>0</v>
      </c>
      <c r="G101" s="198">
        <v>0</v>
      </c>
      <c r="H101" s="198">
        <v>0</v>
      </c>
      <c r="I101" s="195">
        <f t="shared" si="54"/>
        <v>720000</v>
      </c>
      <c r="J101" s="198">
        <v>0</v>
      </c>
      <c r="K101" s="198">
        <v>180000</v>
      </c>
      <c r="L101" s="198">
        <v>0</v>
      </c>
      <c r="M101" s="198">
        <v>0</v>
      </c>
      <c r="N101" s="198">
        <v>0</v>
      </c>
      <c r="O101" s="198">
        <v>0</v>
      </c>
      <c r="P101" s="186">
        <f t="shared" si="55"/>
        <v>180000</v>
      </c>
    </row>
    <row r="102" spans="1:16" ht="26.25" thickBot="1">
      <c r="A102" s="193"/>
      <c r="B102" s="193" t="s">
        <v>411</v>
      </c>
      <c r="C102" s="198">
        <v>0</v>
      </c>
      <c r="D102" s="198">
        <v>0</v>
      </c>
      <c r="E102" s="198">
        <v>0</v>
      </c>
      <c r="F102" s="198">
        <v>1000000</v>
      </c>
      <c r="G102" s="198">
        <v>0</v>
      </c>
      <c r="H102" s="198">
        <v>0</v>
      </c>
      <c r="I102" s="195">
        <f t="shared" si="54"/>
        <v>1000000</v>
      </c>
      <c r="J102" s="198">
        <v>0</v>
      </c>
      <c r="K102" s="198">
        <v>0</v>
      </c>
      <c r="L102" s="198">
        <v>0</v>
      </c>
      <c r="M102" s="198">
        <v>400000</v>
      </c>
      <c r="N102" s="198">
        <v>0</v>
      </c>
      <c r="O102" s="198">
        <v>0</v>
      </c>
      <c r="P102" s="186">
        <f t="shared" si="55"/>
        <v>400000</v>
      </c>
    </row>
    <row r="103" spans="1:16" ht="39" thickBot="1">
      <c r="A103" s="193"/>
      <c r="B103" s="193" t="s">
        <v>412</v>
      </c>
      <c r="C103" s="198">
        <v>0</v>
      </c>
      <c r="D103" s="198">
        <v>0</v>
      </c>
      <c r="E103" s="198">
        <v>0</v>
      </c>
      <c r="F103" s="198">
        <v>1000000</v>
      </c>
      <c r="G103" s="198">
        <v>0</v>
      </c>
      <c r="H103" s="198">
        <v>0</v>
      </c>
      <c r="I103" s="195">
        <f t="shared" si="54"/>
        <v>1000000</v>
      </c>
      <c r="J103" s="198">
        <v>0</v>
      </c>
      <c r="K103" s="198">
        <v>0</v>
      </c>
      <c r="L103" s="198">
        <v>0</v>
      </c>
      <c r="M103" s="198">
        <v>200000</v>
      </c>
      <c r="N103" s="198">
        <v>0</v>
      </c>
      <c r="O103" s="198">
        <v>0</v>
      </c>
      <c r="P103" s="186">
        <f t="shared" si="55"/>
        <v>200000</v>
      </c>
    </row>
    <row r="104" spans="1:16" ht="36.75" customHeight="1" thickBot="1">
      <c r="A104" s="190" t="s">
        <v>175</v>
      </c>
      <c r="B104" s="200" t="s">
        <v>218</v>
      </c>
      <c r="C104" s="192">
        <f>SUM(C105:C106)</f>
        <v>0</v>
      </c>
      <c r="D104" s="192">
        <f aca="true" t="shared" si="56" ref="D104:J104">SUM(D105:D106)</f>
        <v>0</v>
      </c>
      <c r="E104" s="192">
        <f t="shared" si="56"/>
        <v>0</v>
      </c>
      <c r="F104" s="192">
        <f t="shared" si="56"/>
        <v>850000</v>
      </c>
      <c r="G104" s="192">
        <f t="shared" si="56"/>
        <v>150000</v>
      </c>
      <c r="H104" s="192">
        <f t="shared" si="56"/>
        <v>49400</v>
      </c>
      <c r="I104" s="192">
        <f t="shared" si="56"/>
        <v>1049400</v>
      </c>
      <c r="J104" s="192">
        <f t="shared" si="56"/>
        <v>0</v>
      </c>
      <c r="K104" s="192">
        <f aca="true" t="shared" si="57" ref="K104:P104">SUM(K105:K106)</f>
        <v>0</v>
      </c>
      <c r="L104" s="192">
        <f t="shared" si="57"/>
        <v>0</v>
      </c>
      <c r="M104" s="192">
        <f t="shared" si="57"/>
        <v>212500</v>
      </c>
      <c r="N104" s="192">
        <f t="shared" si="57"/>
        <v>37500</v>
      </c>
      <c r="O104" s="192">
        <f t="shared" si="57"/>
        <v>11700</v>
      </c>
      <c r="P104" s="186">
        <f t="shared" si="57"/>
        <v>261700</v>
      </c>
    </row>
    <row r="105" spans="1:16" ht="26.25" thickBot="1">
      <c r="A105" s="193"/>
      <c r="B105" s="193" t="s">
        <v>429</v>
      </c>
      <c r="C105" s="194">
        <v>0</v>
      </c>
      <c r="D105" s="194">
        <v>0</v>
      </c>
      <c r="E105" s="194">
        <v>0</v>
      </c>
      <c r="F105" s="194">
        <v>0</v>
      </c>
      <c r="G105" s="194">
        <v>0</v>
      </c>
      <c r="H105" s="194">
        <v>49400</v>
      </c>
      <c r="I105" s="195">
        <f t="shared" si="54"/>
        <v>49400</v>
      </c>
      <c r="J105" s="194">
        <v>0</v>
      </c>
      <c r="K105" s="194">
        <v>0</v>
      </c>
      <c r="L105" s="194">
        <v>0</v>
      </c>
      <c r="M105" s="194">
        <v>0</v>
      </c>
      <c r="N105" s="194">
        <v>0</v>
      </c>
      <c r="O105" s="194">
        <v>11700</v>
      </c>
      <c r="P105" s="186">
        <f t="shared" si="55"/>
        <v>11700</v>
      </c>
    </row>
    <row r="106" spans="1:16" ht="26.25" thickBot="1">
      <c r="A106" s="193"/>
      <c r="B106" s="193" t="s">
        <v>430</v>
      </c>
      <c r="C106" s="194">
        <v>0</v>
      </c>
      <c r="D106" s="194">
        <v>0</v>
      </c>
      <c r="E106" s="194">
        <v>0</v>
      </c>
      <c r="F106" s="194">
        <v>850000</v>
      </c>
      <c r="G106" s="194">
        <v>150000</v>
      </c>
      <c r="H106" s="194">
        <v>0</v>
      </c>
      <c r="I106" s="195">
        <f t="shared" si="54"/>
        <v>1000000</v>
      </c>
      <c r="J106" s="194">
        <v>0</v>
      </c>
      <c r="K106" s="194">
        <v>0</v>
      </c>
      <c r="L106" s="194">
        <v>0</v>
      </c>
      <c r="M106" s="194">
        <v>212500</v>
      </c>
      <c r="N106" s="194">
        <v>37500</v>
      </c>
      <c r="O106" s="194">
        <v>0</v>
      </c>
      <c r="P106" s="186">
        <f t="shared" si="55"/>
        <v>250000</v>
      </c>
    </row>
    <row r="107" spans="1:16" ht="13.5" thickBot="1">
      <c r="A107" s="190" t="s">
        <v>176</v>
      </c>
      <c r="B107" s="200" t="s">
        <v>219</v>
      </c>
      <c r="C107" s="192">
        <f>SUM(C108)</f>
        <v>0</v>
      </c>
      <c r="D107" s="192">
        <f aca="true" t="shared" si="58" ref="D107:I107">SUM(D108)</f>
        <v>0</v>
      </c>
      <c r="E107" s="192">
        <f t="shared" si="58"/>
        <v>0</v>
      </c>
      <c r="F107" s="192">
        <f t="shared" si="58"/>
        <v>0</v>
      </c>
      <c r="G107" s="192">
        <f t="shared" si="58"/>
        <v>0</v>
      </c>
      <c r="H107" s="192">
        <f t="shared" si="58"/>
        <v>178080</v>
      </c>
      <c r="I107" s="192">
        <f t="shared" si="58"/>
        <v>178080</v>
      </c>
      <c r="J107" s="192">
        <f aca="true" t="shared" si="59" ref="J107:P107">SUM(J108)</f>
        <v>0</v>
      </c>
      <c r="K107" s="192">
        <f t="shared" si="59"/>
        <v>0</v>
      </c>
      <c r="L107" s="192">
        <f t="shared" si="59"/>
        <v>0</v>
      </c>
      <c r="M107" s="192">
        <f t="shared" si="59"/>
        <v>0</v>
      </c>
      <c r="N107" s="192">
        <f t="shared" si="59"/>
        <v>0</v>
      </c>
      <c r="O107" s="192">
        <f t="shared" si="59"/>
        <v>36960</v>
      </c>
      <c r="P107" s="186">
        <f t="shared" si="59"/>
        <v>36960</v>
      </c>
    </row>
    <row r="108" spans="1:16" ht="13.5" thickBot="1">
      <c r="A108" s="193"/>
      <c r="B108" s="193" t="s">
        <v>434</v>
      </c>
      <c r="C108" s="194">
        <v>0</v>
      </c>
      <c r="D108" s="194">
        <v>0</v>
      </c>
      <c r="E108" s="194">
        <v>0</v>
      </c>
      <c r="F108" s="194">
        <v>0</v>
      </c>
      <c r="G108" s="194">
        <v>0</v>
      </c>
      <c r="H108" s="194">
        <v>178080</v>
      </c>
      <c r="I108" s="195">
        <f t="shared" si="54"/>
        <v>178080</v>
      </c>
      <c r="J108" s="194">
        <v>0</v>
      </c>
      <c r="K108" s="194">
        <v>0</v>
      </c>
      <c r="L108" s="194">
        <v>0</v>
      </c>
      <c r="M108" s="194">
        <v>0</v>
      </c>
      <c r="N108" s="194">
        <v>0</v>
      </c>
      <c r="O108" s="194">
        <v>36960</v>
      </c>
      <c r="P108" s="186">
        <f t="shared" si="55"/>
        <v>36960</v>
      </c>
    </row>
    <row r="109" spans="1:16" ht="39" thickBot="1">
      <c r="A109" s="190" t="s">
        <v>178</v>
      </c>
      <c r="B109" s="200" t="s">
        <v>177</v>
      </c>
      <c r="C109" s="192">
        <f>SUM(C110)</f>
        <v>734000</v>
      </c>
      <c r="D109" s="192">
        <f aca="true" t="shared" si="60" ref="D109:P109">SUM(D110)</f>
        <v>0</v>
      </c>
      <c r="E109" s="192">
        <f t="shared" si="60"/>
        <v>0</v>
      </c>
      <c r="F109" s="192">
        <f t="shared" si="60"/>
        <v>1101000</v>
      </c>
      <c r="G109" s="192">
        <f t="shared" si="60"/>
        <v>0</v>
      </c>
      <c r="H109" s="192">
        <f t="shared" si="60"/>
        <v>0</v>
      </c>
      <c r="I109" s="192">
        <f t="shared" si="60"/>
        <v>1835000</v>
      </c>
      <c r="J109" s="192">
        <f t="shared" si="60"/>
        <v>179600</v>
      </c>
      <c r="K109" s="192">
        <f t="shared" si="60"/>
        <v>0</v>
      </c>
      <c r="L109" s="192">
        <f t="shared" si="60"/>
        <v>0</v>
      </c>
      <c r="M109" s="192">
        <f t="shared" si="60"/>
        <v>269400</v>
      </c>
      <c r="N109" s="192">
        <f t="shared" si="60"/>
        <v>0</v>
      </c>
      <c r="O109" s="192">
        <f t="shared" si="60"/>
        <v>0</v>
      </c>
      <c r="P109" s="186">
        <f t="shared" si="60"/>
        <v>449000</v>
      </c>
    </row>
    <row r="110" spans="1:16" ht="39" thickBot="1">
      <c r="A110" s="193"/>
      <c r="B110" s="193" t="s">
        <v>438</v>
      </c>
      <c r="C110" s="194">
        <v>734000</v>
      </c>
      <c r="D110" s="194">
        <v>0</v>
      </c>
      <c r="E110" s="194">
        <v>0</v>
      </c>
      <c r="F110" s="194">
        <v>1101000</v>
      </c>
      <c r="G110" s="194">
        <v>0</v>
      </c>
      <c r="H110" s="194">
        <v>0</v>
      </c>
      <c r="I110" s="195">
        <f t="shared" si="54"/>
        <v>1835000</v>
      </c>
      <c r="J110" s="194">
        <v>179600</v>
      </c>
      <c r="K110" s="194">
        <v>0</v>
      </c>
      <c r="L110" s="194">
        <v>0</v>
      </c>
      <c r="M110" s="194">
        <v>269400</v>
      </c>
      <c r="N110" s="194">
        <v>0</v>
      </c>
      <c r="O110" s="194">
        <v>0</v>
      </c>
      <c r="P110" s="186">
        <f t="shared" si="55"/>
        <v>449000</v>
      </c>
    </row>
    <row r="111" spans="1:16" ht="26.25" thickBot="1">
      <c r="A111" s="190" t="s">
        <v>217</v>
      </c>
      <c r="B111" s="200" t="s">
        <v>255</v>
      </c>
      <c r="C111" s="192">
        <f>SUM(C112:C113)</f>
        <v>7027400</v>
      </c>
      <c r="D111" s="192">
        <f aca="true" t="shared" si="61" ref="D111:P111">SUM(D112:D113)</f>
        <v>0</v>
      </c>
      <c r="E111" s="192">
        <f t="shared" si="61"/>
        <v>0</v>
      </c>
      <c r="F111" s="192">
        <f t="shared" si="61"/>
        <v>10541100</v>
      </c>
      <c r="G111" s="192">
        <f t="shared" si="61"/>
        <v>0</v>
      </c>
      <c r="H111" s="192">
        <f t="shared" si="61"/>
        <v>0</v>
      </c>
      <c r="I111" s="192">
        <f t="shared" si="54"/>
        <v>17568500</v>
      </c>
      <c r="J111" s="192">
        <f t="shared" si="61"/>
        <v>1704400</v>
      </c>
      <c r="K111" s="192">
        <f t="shared" si="61"/>
        <v>0</v>
      </c>
      <c r="L111" s="192">
        <f t="shared" si="61"/>
        <v>0</v>
      </c>
      <c r="M111" s="192">
        <f t="shared" si="61"/>
        <v>2556600</v>
      </c>
      <c r="N111" s="192">
        <f t="shared" si="61"/>
        <v>0</v>
      </c>
      <c r="O111" s="192">
        <f t="shared" si="61"/>
        <v>0</v>
      </c>
      <c r="P111" s="186">
        <f t="shared" si="61"/>
        <v>4261000</v>
      </c>
    </row>
    <row r="112" spans="1:16" ht="13.5" thickBot="1">
      <c r="A112" s="193"/>
      <c r="B112" s="193" t="s">
        <v>448</v>
      </c>
      <c r="C112" s="194">
        <v>615400</v>
      </c>
      <c r="D112" s="194">
        <v>0</v>
      </c>
      <c r="E112" s="194">
        <v>0</v>
      </c>
      <c r="F112" s="194">
        <v>923100</v>
      </c>
      <c r="G112" s="194">
        <v>0</v>
      </c>
      <c r="H112" s="194">
        <v>0</v>
      </c>
      <c r="I112" s="195">
        <f t="shared" si="54"/>
        <v>1538500</v>
      </c>
      <c r="J112" s="194">
        <v>152400</v>
      </c>
      <c r="K112" s="194">
        <v>0</v>
      </c>
      <c r="L112" s="194">
        <v>0</v>
      </c>
      <c r="M112" s="194">
        <v>228600</v>
      </c>
      <c r="N112" s="194">
        <v>0</v>
      </c>
      <c r="O112" s="194">
        <v>0</v>
      </c>
      <c r="P112" s="186">
        <f t="shared" si="55"/>
        <v>381000</v>
      </c>
    </row>
    <row r="113" spans="1:16" ht="26.25" thickBot="1">
      <c r="A113" s="193"/>
      <c r="B113" s="193" t="s">
        <v>449</v>
      </c>
      <c r="C113" s="194">
        <v>6412000</v>
      </c>
      <c r="D113" s="194">
        <v>0</v>
      </c>
      <c r="E113" s="194">
        <v>0</v>
      </c>
      <c r="F113" s="194">
        <v>9618000</v>
      </c>
      <c r="G113" s="194">
        <v>0</v>
      </c>
      <c r="H113" s="194">
        <v>0</v>
      </c>
      <c r="I113" s="195">
        <f t="shared" si="54"/>
        <v>16030000</v>
      </c>
      <c r="J113" s="194">
        <v>1552000</v>
      </c>
      <c r="K113" s="194">
        <v>0</v>
      </c>
      <c r="L113" s="194">
        <v>0</v>
      </c>
      <c r="M113" s="194">
        <v>2328000</v>
      </c>
      <c r="N113" s="194">
        <v>0</v>
      </c>
      <c r="O113" s="194">
        <v>0</v>
      </c>
      <c r="P113" s="186">
        <f t="shared" si="55"/>
        <v>3880000</v>
      </c>
    </row>
    <row r="114" spans="1:16" ht="33" customHeight="1" thickBot="1">
      <c r="A114" s="187" t="s">
        <v>644</v>
      </c>
      <c r="B114" s="188" t="s">
        <v>181</v>
      </c>
      <c r="C114" s="189">
        <f aca="true" t="shared" si="62" ref="C114:H114">SUM(C115+C121+C124)</f>
        <v>10430000</v>
      </c>
      <c r="D114" s="189">
        <f t="shared" si="62"/>
        <v>18053627.7</v>
      </c>
      <c r="E114" s="189">
        <f t="shared" si="62"/>
        <v>4394000</v>
      </c>
      <c r="F114" s="189">
        <f t="shared" si="62"/>
        <v>52924202</v>
      </c>
      <c r="G114" s="189">
        <f t="shared" si="62"/>
        <v>0</v>
      </c>
      <c r="H114" s="189">
        <f t="shared" si="62"/>
        <v>2179374</v>
      </c>
      <c r="I114" s="189">
        <f>SUM(C114:H114)</f>
        <v>87981203.7</v>
      </c>
      <c r="J114" s="189">
        <f aca="true" t="shared" si="63" ref="J114:O114">SUM(J115+J121+J124)</f>
        <v>968784.81</v>
      </c>
      <c r="K114" s="189">
        <f t="shared" si="63"/>
        <v>1478778</v>
      </c>
      <c r="L114" s="189">
        <f t="shared" si="63"/>
        <v>1406108</v>
      </c>
      <c r="M114" s="189">
        <f t="shared" si="63"/>
        <v>7286578.94</v>
      </c>
      <c r="N114" s="189">
        <f t="shared" si="63"/>
        <v>0</v>
      </c>
      <c r="O114" s="189">
        <f t="shared" si="63"/>
        <v>587062</v>
      </c>
      <c r="P114" s="186">
        <f>SUM(J114:O114)</f>
        <v>11727311.75</v>
      </c>
    </row>
    <row r="115" spans="1:16" ht="26.25" thickBot="1">
      <c r="A115" s="190" t="s">
        <v>182</v>
      </c>
      <c r="B115" s="191" t="s">
        <v>184</v>
      </c>
      <c r="C115" s="192">
        <f aca="true" t="shared" si="64" ref="C115:P115">SUM(C116:C120)</f>
        <v>10430000</v>
      </c>
      <c r="D115" s="192">
        <f t="shared" si="64"/>
        <v>15878877.7</v>
      </c>
      <c r="E115" s="192">
        <f t="shared" si="64"/>
        <v>0</v>
      </c>
      <c r="F115" s="192">
        <f t="shared" si="64"/>
        <v>50261202</v>
      </c>
      <c r="G115" s="192">
        <f t="shared" si="64"/>
        <v>0</v>
      </c>
      <c r="H115" s="192">
        <f t="shared" si="64"/>
        <v>2076124</v>
      </c>
      <c r="I115" s="192">
        <f t="shared" si="64"/>
        <v>78646203.7</v>
      </c>
      <c r="J115" s="192">
        <f t="shared" si="64"/>
        <v>968784.81</v>
      </c>
      <c r="K115" s="192">
        <f t="shared" si="64"/>
        <v>825000</v>
      </c>
      <c r="L115" s="192">
        <f t="shared" si="64"/>
        <v>0</v>
      </c>
      <c r="M115" s="192">
        <f t="shared" si="64"/>
        <v>5586464.94</v>
      </c>
      <c r="N115" s="192">
        <f t="shared" si="64"/>
        <v>0</v>
      </c>
      <c r="O115" s="192">
        <f t="shared" si="64"/>
        <v>567062</v>
      </c>
      <c r="P115" s="186">
        <f t="shared" si="64"/>
        <v>7947311.75</v>
      </c>
    </row>
    <row r="116" spans="1:16" ht="26.25" thickBot="1">
      <c r="A116" s="193"/>
      <c r="B116" s="193" t="s">
        <v>453</v>
      </c>
      <c r="C116" s="194">
        <v>2930000</v>
      </c>
      <c r="D116" s="194">
        <v>0</v>
      </c>
      <c r="E116" s="194">
        <v>0</v>
      </c>
      <c r="F116" s="194">
        <v>0</v>
      </c>
      <c r="G116" s="194">
        <v>0</v>
      </c>
      <c r="H116" s="194">
        <v>70000</v>
      </c>
      <c r="I116" s="195">
        <f aca="true" t="shared" si="65" ref="I116:I126">SUM(C116:H116)</f>
        <v>3000000</v>
      </c>
      <c r="J116" s="194">
        <v>931000</v>
      </c>
      <c r="K116" s="194">
        <v>0</v>
      </c>
      <c r="L116" s="194">
        <v>0</v>
      </c>
      <c r="M116" s="194">
        <v>0</v>
      </c>
      <c r="N116" s="194">
        <v>0</v>
      </c>
      <c r="O116" s="194">
        <v>19000</v>
      </c>
      <c r="P116" s="186">
        <f aca="true" t="shared" si="66" ref="P116:P126">SUM(J116:O116)</f>
        <v>950000</v>
      </c>
    </row>
    <row r="117" spans="1:16" ht="51.75" thickBot="1">
      <c r="A117" s="193"/>
      <c r="B117" s="715" t="s">
        <v>807</v>
      </c>
      <c r="C117" s="194">
        <v>7500000</v>
      </c>
      <c r="D117" s="194">
        <v>14755377.7</v>
      </c>
      <c r="E117" s="194">
        <v>0</v>
      </c>
      <c r="F117" s="194">
        <v>42500000</v>
      </c>
      <c r="G117" s="194">
        <v>0</v>
      </c>
      <c r="H117" s="194">
        <v>0</v>
      </c>
      <c r="I117" s="195">
        <f t="shared" si="65"/>
        <v>64755377.7</v>
      </c>
      <c r="J117" s="194">
        <v>37784.81</v>
      </c>
      <c r="K117" s="194">
        <v>0</v>
      </c>
      <c r="L117" s="194">
        <v>0</v>
      </c>
      <c r="M117" s="194">
        <v>214113.94</v>
      </c>
      <c r="N117" s="194">
        <v>0</v>
      </c>
      <c r="O117" s="194">
        <v>0</v>
      </c>
      <c r="P117" s="186">
        <f>SUM(J117:O117)</f>
        <v>251898.75</v>
      </c>
    </row>
    <row r="118" spans="1:16" ht="26.25" thickBot="1">
      <c r="A118" s="193"/>
      <c r="B118" s="193" t="s">
        <v>454</v>
      </c>
      <c r="C118" s="194">
        <v>0</v>
      </c>
      <c r="D118" s="194">
        <v>1123500</v>
      </c>
      <c r="E118" s="194">
        <v>0</v>
      </c>
      <c r="F118" s="194">
        <v>6366500</v>
      </c>
      <c r="G118" s="194">
        <v>0</v>
      </c>
      <c r="H118" s="194">
        <v>0</v>
      </c>
      <c r="I118" s="195">
        <f t="shared" si="65"/>
        <v>7490000</v>
      </c>
      <c r="J118" s="194">
        <v>0</v>
      </c>
      <c r="K118" s="194">
        <v>825000</v>
      </c>
      <c r="L118" s="194">
        <v>0</v>
      </c>
      <c r="M118" s="194">
        <v>4675000</v>
      </c>
      <c r="N118" s="194">
        <v>0</v>
      </c>
      <c r="O118" s="194">
        <v>0</v>
      </c>
      <c r="P118" s="186">
        <f t="shared" si="66"/>
        <v>5500000</v>
      </c>
    </row>
    <row r="119" spans="1:16" ht="26.25" thickBot="1">
      <c r="A119" s="193"/>
      <c r="B119" s="193" t="s">
        <v>455</v>
      </c>
      <c r="C119" s="194">
        <v>0</v>
      </c>
      <c r="D119" s="194">
        <v>0</v>
      </c>
      <c r="E119" s="194">
        <v>0</v>
      </c>
      <c r="F119" s="194">
        <v>0</v>
      </c>
      <c r="G119" s="194">
        <v>0</v>
      </c>
      <c r="H119" s="194">
        <v>1760000</v>
      </c>
      <c r="I119" s="195">
        <f t="shared" si="65"/>
        <v>1760000</v>
      </c>
      <c r="J119" s="194">
        <v>0</v>
      </c>
      <c r="K119" s="194">
        <v>0</v>
      </c>
      <c r="L119" s="194">
        <v>0</v>
      </c>
      <c r="M119" s="194">
        <v>0</v>
      </c>
      <c r="N119" s="194">
        <v>0</v>
      </c>
      <c r="O119" s="194">
        <v>425000</v>
      </c>
      <c r="P119" s="186">
        <f t="shared" si="66"/>
        <v>425000</v>
      </c>
    </row>
    <row r="120" spans="1:16" ht="26.25" thickBot="1">
      <c r="A120" s="193"/>
      <c r="B120" s="197" t="s">
        <v>456</v>
      </c>
      <c r="C120" s="194">
        <v>0</v>
      </c>
      <c r="D120" s="194">
        <v>0</v>
      </c>
      <c r="E120" s="194">
        <v>0</v>
      </c>
      <c r="F120" s="194">
        <v>1394702</v>
      </c>
      <c r="G120" s="194">
        <v>0</v>
      </c>
      <c r="H120" s="194">
        <v>246124</v>
      </c>
      <c r="I120" s="195">
        <f t="shared" si="65"/>
        <v>1640826</v>
      </c>
      <c r="J120" s="194">
        <v>0</v>
      </c>
      <c r="K120" s="194">
        <v>0</v>
      </c>
      <c r="L120" s="194">
        <v>0</v>
      </c>
      <c r="M120" s="194">
        <v>697351</v>
      </c>
      <c r="N120" s="194">
        <v>0</v>
      </c>
      <c r="O120" s="194">
        <v>123062</v>
      </c>
      <c r="P120" s="186">
        <f t="shared" si="66"/>
        <v>820413</v>
      </c>
    </row>
    <row r="121" spans="1:16" ht="39.75" customHeight="1" thickBot="1">
      <c r="A121" s="190" t="s">
        <v>183</v>
      </c>
      <c r="B121" s="200" t="s">
        <v>256</v>
      </c>
      <c r="C121" s="192">
        <f>SUM(C122:C123)</f>
        <v>0</v>
      </c>
      <c r="D121" s="192">
        <f aca="true" t="shared" si="67" ref="D121:P121">SUM(D122:D123)</f>
        <v>231750</v>
      </c>
      <c r="E121" s="192">
        <f t="shared" si="67"/>
        <v>0</v>
      </c>
      <c r="F121" s="192">
        <f t="shared" si="67"/>
        <v>0</v>
      </c>
      <c r="G121" s="192">
        <f t="shared" si="67"/>
        <v>0</v>
      </c>
      <c r="H121" s="192">
        <f t="shared" si="67"/>
        <v>103250</v>
      </c>
      <c r="I121" s="192">
        <f t="shared" si="67"/>
        <v>335000</v>
      </c>
      <c r="J121" s="192">
        <f t="shared" si="67"/>
        <v>0</v>
      </c>
      <c r="K121" s="192">
        <f t="shared" si="67"/>
        <v>60000</v>
      </c>
      <c r="L121" s="192">
        <f t="shared" si="67"/>
        <v>0</v>
      </c>
      <c r="M121" s="192">
        <f t="shared" si="67"/>
        <v>0</v>
      </c>
      <c r="N121" s="192">
        <f t="shared" si="67"/>
        <v>0</v>
      </c>
      <c r="O121" s="192">
        <f t="shared" si="67"/>
        <v>20000</v>
      </c>
      <c r="P121" s="186">
        <f t="shared" si="67"/>
        <v>80000</v>
      </c>
    </row>
    <row r="122" spans="1:16" ht="26.25" thickBot="1">
      <c r="A122" s="193"/>
      <c r="B122" s="193" t="s">
        <v>462</v>
      </c>
      <c r="C122" s="194">
        <v>0</v>
      </c>
      <c r="D122" s="194">
        <v>191750</v>
      </c>
      <c r="E122" s="194">
        <v>0</v>
      </c>
      <c r="F122" s="194">
        <v>0</v>
      </c>
      <c r="G122" s="194">
        <v>0</v>
      </c>
      <c r="H122" s="194">
        <v>103250</v>
      </c>
      <c r="I122" s="195">
        <f t="shared" si="65"/>
        <v>295000</v>
      </c>
      <c r="J122" s="194">
        <v>0</v>
      </c>
      <c r="K122" s="194">
        <v>50000</v>
      </c>
      <c r="L122" s="194">
        <v>0</v>
      </c>
      <c r="M122" s="194">
        <v>0</v>
      </c>
      <c r="N122" s="194">
        <v>0</v>
      </c>
      <c r="O122" s="194">
        <v>20000</v>
      </c>
      <c r="P122" s="186">
        <f t="shared" si="66"/>
        <v>70000</v>
      </c>
    </row>
    <row r="123" spans="1:16" ht="13.5" thickBot="1">
      <c r="A123" s="193"/>
      <c r="B123" s="193" t="s">
        <v>463</v>
      </c>
      <c r="C123" s="194">
        <v>0</v>
      </c>
      <c r="D123" s="194">
        <v>40000</v>
      </c>
      <c r="E123" s="194">
        <v>0</v>
      </c>
      <c r="F123" s="194">
        <v>0</v>
      </c>
      <c r="G123" s="194">
        <v>0</v>
      </c>
      <c r="H123" s="194">
        <v>0</v>
      </c>
      <c r="I123" s="195">
        <f t="shared" si="65"/>
        <v>40000</v>
      </c>
      <c r="J123" s="194">
        <v>0</v>
      </c>
      <c r="K123" s="194">
        <v>10000</v>
      </c>
      <c r="L123" s="194">
        <v>0</v>
      </c>
      <c r="M123" s="194">
        <v>0</v>
      </c>
      <c r="N123" s="194">
        <v>0</v>
      </c>
      <c r="O123" s="194">
        <v>0</v>
      </c>
      <c r="P123" s="186">
        <f t="shared" si="66"/>
        <v>10000</v>
      </c>
    </row>
    <row r="124" spans="1:16" ht="13.5" thickBot="1">
      <c r="A124" s="190" t="s">
        <v>192</v>
      </c>
      <c r="B124" s="200" t="s">
        <v>191</v>
      </c>
      <c r="C124" s="192">
        <f>SUM(C125:C126)</f>
        <v>0</v>
      </c>
      <c r="D124" s="192">
        <f aca="true" t="shared" si="68" ref="D124:P124">SUM(D125:D126)</f>
        <v>1943000</v>
      </c>
      <c r="E124" s="192">
        <f t="shared" si="68"/>
        <v>4394000</v>
      </c>
      <c r="F124" s="192">
        <f t="shared" si="68"/>
        <v>2663000</v>
      </c>
      <c r="G124" s="192">
        <f t="shared" si="68"/>
        <v>0</v>
      </c>
      <c r="H124" s="192">
        <f t="shared" si="68"/>
        <v>0</v>
      </c>
      <c r="I124" s="192">
        <f t="shared" si="68"/>
        <v>9000000</v>
      </c>
      <c r="J124" s="192">
        <f t="shared" si="68"/>
        <v>0</v>
      </c>
      <c r="K124" s="192">
        <f t="shared" si="68"/>
        <v>593778</v>
      </c>
      <c r="L124" s="192">
        <f t="shared" si="68"/>
        <v>1406108</v>
      </c>
      <c r="M124" s="192">
        <f t="shared" si="68"/>
        <v>1700114</v>
      </c>
      <c r="N124" s="192">
        <f t="shared" si="68"/>
        <v>0</v>
      </c>
      <c r="O124" s="192">
        <f t="shared" si="68"/>
        <v>0</v>
      </c>
      <c r="P124" s="186">
        <f t="shared" si="68"/>
        <v>3700000</v>
      </c>
    </row>
    <row r="125" spans="1:16" ht="39" thickBot="1">
      <c r="A125" s="193"/>
      <c r="B125" s="193" t="s">
        <v>466</v>
      </c>
      <c r="C125" s="194">
        <v>0</v>
      </c>
      <c r="D125" s="194">
        <v>1943000</v>
      </c>
      <c r="E125" s="194">
        <v>3819000</v>
      </c>
      <c r="F125" s="194">
        <v>938000</v>
      </c>
      <c r="G125" s="194">
        <v>0</v>
      </c>
      <c r="H125" s="194">
        <v>0</v>
      </c>
      <c r="I125" s="195">
        <f t="shared" si="65"/>
        <v>6700000</v>
      </c>
      <c r="J125" s="194">
        <v>0</v>
      </c>
      <c r="K125" s="194">
        <v>593778</v>
      </c>
      <c r="L125" s="194">
        <v>1031108</v>
      </c>
      <c r="M125" s="194">
        <v>575114</v>
      </c>
      <c r="N125" s="194">
        <v>0</v>
      </c>
      <c r="O125" s="194">
        <v>0</v>
      </c>
      <c r="P125" s="186">
        <f t="shared" si="66"/>
        <v>2200000</v>
      </c>
    </row>
    <row r="126" spans="1:16" ht="26.25" thickBot="1">
      <c r="A126" s="193"/>
      <c r="B126" s="193" t="s">
        <v>467</v>
      </c>
      <c r="C126" s="194">
        <v>0</v>
      </c>
      <c r="D126" s="194">
        <v>0</v>
      </c>
      <c r="E126" s="194">
        <v>575000</v>
      </c>
      <c r="F126" s="194">
        <v>1725000</v>
      </c>
      <c r="G126" s="194">
        <v>0</v>
      </c>
      <c r="H126" s="194">
        <v>0</v>
      </c>
      <c r="I126" s="195">
        <f t="shared" si="65"/>
        <v>2300000</v>
      </c>
      <c r="J126" s="194">
        <v>0</v>
      </c>
      <c r="K126" s="194">
        <v>0</v>
      </c>
      <c r="L126" s="194">
        <v>375000</v>
      </c>
      <c r="M126" s="194">
        <v>1125000</v>
      </c>
      <c r="N126" s="194">
        <v>0</v>
      </c>
      <c r="O126" s="194">
        <v>0</v>
      </c>
      <c r="P126" s="186">
        <f t="shared" si="66"/>
        <v>1500000</v>
      </c>
    </row>
    <row r="127" spans="1:16" ht="33" customHeight="1" thickBot="1">
      <c r="A127" s="187" t="s">
        <v>645</v>
      </c>
      <c r="B127" s="188" t="s">
        <v>257</v>
      </c>
      <c r="C127" s="189">
        <f aca="true" t="shared" si="69" ref="C127:H127">SUM(C128+C130)</f>
        <v>150000</v>
      </c>
      <c r="D127" s="189">
        <f t="shared" si="69"/>
        <v>4360000</v>
      </c>
      <c r="E127" s="189">
        <f t="shared" si="69"/>
        <v>1045000</v>
      </c>
      <c r="F127" s="189">
        <f t="shared" si="69"/>
        <v>0</v>
      </c>
      <c r="G127" s="189">
        <f t="shared" si="69"/>
        <v>0</v>
      </c>
      <c r="H127" s="189">
        <f t="shared" si="69"/>
        <v>0</v>
      </c>
      <c r="I127" s="189">
        <f>SUM(I128+I130)</f>
        <v>5555000</v>
      </c>
      <c r="J127" s="189">
        <f aca="true" t="shared" si="70" ref="J127:O127">SUM(J128+J130)</f>
        <v>30000</v>
      </c>
      <c r="K127" s="189">
        <f t="shared" si="70"/>
        <v>1055000</v>
      </c>
      <c r="L127" s="189">
        <f t="shared" si="70"/>
        <v>200000</v>
      </c>
      <c r="M127" s="189">
        <f t="shared" si="70"/>
        <v>0</v>
      </c>
      <c r="N127" s="189">
        <f t="shared" si="70"/>
        <v>0</v>
      </c>
      <c r="O127" s="189">
        <f t="shared" si="70"/>
        <v>0</v>
      </c>
      <c r="P127" s="186">
        <f>SUM(J127:O127)</f>
        <v>1285000</v>
      </c>
    </row>
    <row r="128" spans="1:16" ht="31.5" customHeight="1" thickBot="1">
      <c r="A128" s="190" t="s">
        <v>187</v>
      </c>
      <c r="B128" s="191" t="s">
        <v>258</v>
      </c>
      <c r="C128" s="192">
        <f>SUM(C129)</f>
        <v>0</v>
      </c>
      <c r="D128" s="192">
        <f aca="true" t="shared" si="71" ref="D128:P128">SUM(D129)</f>
        <v>2045000</v>
      </c>
      <c r="E128" s="192">
        <f t="shared" si="71"/>
        <v>0</v>
      </c>
      <c r="F128" s="192">
        <f t="shared" si="71"/>
        <v>0</v>
      </c>
      <c r="G128" s="192">
        <f t="shared" si="71"/>
        <v>0</v>
      </c>
      <c r="H128" s="192">
        <f t="shared" si="71"/>
        <v>0</v>
      </c>
      <c r="I128" s="192">
        <f t="shared" si="71"/>
        <v>2045000</v>
      </c>
      <c r="J128" s="192">
        <f t="shared" si="71"/>
        <v>0</v>
      </c>
      <c r="K128" s="192">
        <f t="shared" si="71"/>
        <v>495000</v>
      </c>
      <c r="L128" s="192">
        <f t="shared" si="71"/>
        <v>0</v>
      </c>
      <c r="M128" s="192">
        <f t="shared" si="71"/>
        <v>0</v>
      </c>
      <c r="N128" s="192">
        <f t="shared" si="71"/>
        <v>0</v>
      </c>
      <c r="O128" s="192">
        <f t="shared" si="71"/>
        <v>0</v>
      </c>
      <c r="P128" s="186">
        <f t="shared" si="71"/>
        <v>495000</v>
      </c>
    </row>
    <row r="129" spans="1:16" ht="26.25" thickBot="1">
      <c r="A129" s="193"/>
      <c r="B129" s="193" t="s">
        <v>472</v>
      </c>
      <c r="C129" s="194">
        <v>0</v>
      </c>
      <c r="D129" s="194">
        <v>2045000</v>
      </c>
      <c r="E129" s="194">
        <v>0</v>
      </c>
      <c r="F129" s="194">
        <v>0</v>
      </c>
      <c r="G129" s="194">
        <v>0</v>
      </c>
      <c r="H129" s="194">
        <v>0</v>
      </c>
      <c r="I129" s="195">
        <f>SUM(C129:H129)</f>
        <v>2045000</v>
      </c>
      <c r="J129" s="194">
        <v>0</v>
      </c>
      <c r="K129" s="194">
        <v>495000</v>
      </c>
      <c r="L129" s="194">
        <v>0</v>
      </c>
      <c r="M129" s="194">
        <v>0</v>
      </c>
      <c r="N129" s="194">
        <v>0</v>
      </c>
      <c r="O129" s="194">
        <v>0</v>
      </c>
      <c r="P129" s="186">
        <f>SUM(J129:O129)</f>
        <v>495000</v>
      </c>
    </row>
    <row r="130" spans="1:16" ht="26.25" thickBot="1">
      <c r="A130" s="190" t="s">
        <v>188</v>
      </c>
      <c r="B130" s="200" t="s">
        <v>259</v>
      </c>
      <c r="C130" s="192">
        <f>SUM(C131:C133)</f>
        <v>150000</v>
      </c>
      <c r="D130" s="192">
        <f aca="true" t="shared" si="72" ref="D130:P130">SUM(D131:D133)</f>
        <v>2315000</v>
      </c>
      <c r="E130" s="192">
        <f t="shared" si="72"/>
        <v>1045000</v>
      </c>
      <c r="F130" s="192">
        <f t="shared" si="72"/>
        <v>0</v>
      </c>
      <c r="G130" s="192">
        <f t="shared" si="72"/>
        <v>0</v>
      </c>
      <c r="H130" s="192">
        <f t="shared" si="72"/>
        <v>0</v>
      </c>
      <c r="I130" s="192">
        <f t="shared" si="72"/>
        <v>3510000</v>
      </c>
      <c r="J130" s="192">
        <f t="shared" si="72"/>
        <v>30000</v>
      </c>
      <c r="K130" s="192">
        <f t="shared" si="72"/>
        <v>560000</v>
      </c>
      <c r="L130" s="192">
        <f t="shared" si="72"/>
        <v>200000</v>
      </c>
      <c r="M130" s="192">
        <f t="shared" si="72"/>
        <v>0</v>
      </c>
      <c r="N130" s="192">
        <f t="shared" si="72"/>
        <v>0</v>
      </c>
      <c r="O130" s="192">
        <f t="shared" si="72"/>
        <v>0</v>
      </c>
      <c r="P130" s="186">
        <f t="shared" si="72"/>
        <v>790000</v>
      </c>
    </row>
    <row r="131" spans="1:16" ht="13.5" thickBot="1">
      <c r="A131" s="193"/>
      <c r="B131" s="193" t="s">
        <v>475</v>
      </c>
      <c r="C131" s="194">
        <v>0</v>
      </c>
      <c r="D131" s="194">
        <v>1460000</v>
      </c>
      <c r="E131" s="194">
        <v>0</v>
      </c>
      <c r="F131" s="194">
        <v>0</v>
      </c>
      <c r="G131" s="194">
        <v>0</v>
      </c>
      <c r="H131" s="194">
        <v>0</v>
      </c>
      <c r="I131" s="195">
        <f>SUM(C131:H131)</f>
        <v>1460000</v>
      </c>
      <c r="J131" s="194">
        <v>0</v>
      </c>
      <c r="K131" s="194">
        <v>360000</v>
      </c>
      <c r="L131" s="194">
        <v>0</v>
      </c>
      <c r="M131" s="194">
        <v>0</v>
      </c>
      <c r="N131" s="194">
        <v>0</v>
      </c>
      <c r="O131" s="194">
        <v>0</v>
      </c>
      <c r="P131" s="186">
        <f>SUM(J131:O131)</f>
        <v>360000</v>
      </c>
    </row>
    <row r="132" spans="1:16" ht="13.5" thickBot="1">
      <c r="A132" s="193"/>
      <c r="B132" s="193" t="s">
        <v>476</v>
      </c>
      <c r="C132" s="194">
        <v>0</v>
      </c>
      <c r="D132" s="194">
        <v>855000</v>
      </c>
      <c r="E132" s="194">
        <v>1045000</v>
      </c>
      <c r="F132" s="194">
        <v>0</v>
      </c>
      <c r="G132" s="194">
        <v>0</v>
      </c>
      <c r="H132" s="194">
        <v>0</v>
      </c>
      <c r="I132" s="195">
        <f>SUM(C132:H132)</f>
        <v>1900000</v>
      </c>
      <c r="J132" s="194">
        <v>0</v>
      </c>
      <c r="K132" s="194">
        <v>200000</v>
      </c>
      <c r="L132" s="194">
        <v>200000</v>
      </c>
      <c r="M132" s="194">
        <v>0</v>
      </c>
      <c r="N132" s="194">
        <v>0</v>
      </c>
      <c r="O132" s="194">
        <v>0</v>
      </c>
      <c r="P132" s="186">
        <f>SUM(J132:O132)</f>
        <v>400000</v>
      </c>
    </row>
    <row r="133" spans="1:16" ht="13.5" thickBot="1">
      <c r="A133" s="193"/>
      <c r="B133" s="193" t="s">
        <v>477</v>
      </c>
      <c r="C133" s="194">
        <v>150000</v>
      </c>
      <c r="D133" s="194">
        <v>0</v>
      </c>
      <c r="E133" s="194">
        <v>0</v>
      </c>
      <c r="F133" s="194">
        <v>0</v>
      </c>
      <c r="G133" s="194">
        <v>0</v>
      </c>
      <c r="H133" s="194">
        <v>0</v>
      </c>
      <c r="I133" s="195">
        <f>SUM(C133:H133)</f>
        <v>150000</v>
      </c>
      <c r="J133" s="194">
        <v>30000</v>
      </c>
      <c r="K133" s="194">
        <v>0</v>
      </c>
      <c r="L133" s="194">
        <v>0</v>
      </c>
      <c r="M133" s="194">
        <v>0</v>
      </c>
      <c r="N133" s="194">
        <v>0</v>
      </c>
      <c r="O133" s="194">
        <v>0</v>
      </c>
      <c r="P133" s="186">
        <f>SUM(J133:O133)</f>
        <v>30000</v>
      </c>
    </row>
    <row r="134" spans="1:16" ht="13.5" thickBot="1">
      <c r="A134" s="187" t="s">
        <v>646</v>
      </c>
      <c r="B134" s="188" t="s">
        <v>260</v>
      </c>
      <c r="C134" s="189">
        <f>SUM(C135+C139)</f>
        <v>8797100</v>
      </c>
      <c r="D134" s="189">
        <f aca="true" t="shared" si="73" ref="D134:J134">SUM(D135+D139)</f>
        <v>11820600</v>
      </c>
      <c r="E134" s="189">
        <f t="shared" si="73"/>
        <v>53553688</v>
      </c>
      <c r="F134" s="189">
        <f t="shared" si="73"/>
        <v>3877885</v>
      </c>
      <c r="G134" s="189">
        <f t="shared" si="73"/>
        <v>5000</v>
      </c>
      <c r="H134" s="189">
        <f t="shared" si="73"/>
        <v>1956688.4</v>
      </c>
      <c r="I134" s="189">
        <f>SUM(C134:H134)</f>
        <v>80010961.4</v>
      </c>
      <c r="J134" s="189">
        <f t="shared" si="73"/>
        <v>2225264</v>
      </c>
      <c r="K134" s="189">
        <f>SUM(K135+K139)</f>
        <v>2915500</v>
      </c>
      <c r="L134" s="189">
        <f>SUM(L135+L139)</f>
        <v>13002640</v>
      </c>
      <c r="M134" s="189">
        <f>SUM(M135+M139)</f>
        <v>890079.2</v>
      </c>
      <c r="N134" s="189">
        <f>SUM(N135+N139)</f>
        <v>0</v>
      </c>
      <c r="O134" s="189">
        <f>SUM(O135+O139)</f>
        <v>465013.2</v>
      </c>
      <c r="P134" s="186">
        <f>SUM(J134:O134)</f>
        <v>19498496.4</v>
      </c>
    </row>
    <row r="135" spans="1:16" ht="26.25" thickBot="1">
      <c r="A135" s="190" t="s">
        <v>195</v>
      </c>
      <c r="B135" s="191" t="s">
        <v>197</v>
      </c>
      <c r="C135" s="192">
        <f>SUM(C136:C138)</f>
        <v>7732100</v>
      </c>
      <c r="D135" s="192">
        <f aca="true" t="shared" si="74" ref="D135:P135">SUM(D136:D138)</f>
        <v>11520600</v>
      </c>
      <c r="E135" s="192">
        <f t="shared" si="74"/>
        <v>53233688</v>
      </c>
      <c r="F135" s="192">
        <f t="shared" si="74"/>
        <v>1417885</v>
      </c>
      <c r="G135" s="192">
        <f t="shared" si="74"/>
        <v>0</v>
      </c>
      <c r="H135" s="192">
        <f t="shared" si="74"/>
        <v>356688.4</v>
      </c>
      <c r="I135" s="192">
        <f t="shared" si="74"/>
        <v>74260961.4</v>
      </c>
      <c r="J135" s="192">
        <f t="shared" si="74"/>
        <v>1975264</v>
      </c>
      <c r="K135" s="192">
        <f t="shared" si="74"/>
        <v>2915500</v>
      </c>
      <c r="L135" s="192">
        <f t="shared" si="74"/>
        <v>13002640</v>
      </c>
      <c r="M135" s="192">
        <f t="shared" si="74"/>
        <v>390079.2</v>
      </c>
      <c r="N135" s="192">
        <f t="shared" si="74"/>
        <v>0</v>
      </c>
      <c r="O135" s="192">
        <f t="shared" si="74"/>
        <v>65013.2</v>
      </c>
      <c r="P135" s="186">
        <f t="shared" si="74"/>
        <v>18348496.4</v>
      </c>
    </row>
    <row r="136" spans="1:16" ht="26.25" thickBot="1">
      <c r="A136" s="193"/>
      <c r="B136" s="193" t="s">
        <v>485</v>
      </c>
      <c r="C136" s="194">
        <v>4962600</v>
      </c>
      <c r="D136" s="194">
        <v>11343100</v>
      </c>
      <c r="E136" s="194">
        <v>53170688</v>
      </c>
      <c r="F136" s="232">
        <v>1417885</v>
      </c>
      <c r="G136" s="194">
        <v>0</v>
      </c>
      <c r="H136" s="194">
        <v>329688.4</v>
      </c>
      <c r="I136" s="195">
        <f>SUM(C136:H136)</f>
        <v>71223961.4</v>
      </c>
      <c r="J136" s="194">
        <v>1300264</v>
      </c>
      <c r="K136" s="194">
        <v>2890000</v>
      </c>
      <c r="L136" s="194">
        <v>13002640</v>
      </c>
      <c r="M136" s="194">
        <v>390079.2</v>
      </c>
      <c r="N136" s="194">
        <v>0</v>
      </c>
      <c r="O136" s="194">
        <v>65013.2</v>
      </c>
      <c r="P136" s="186">
        <f>SUM(J136:O136)</f>
        <v>17647996.4</v>
      </c>
    </row>
    <row r="137" spans="1:16" ht="26.25" thickBot="1">
      <c r="A137" s="193"/>
      <c r="B137" s="193" t="s">
        <v>486</v>
      </c>
      <c r="C137" s="194">
        <v>2769500</v>
      </c>
      <c r="D137" s="194">
        <v>27500</v>
      </c>
      <c r="E137" s="194">
        <v>0</v>
      </c>
      <c r="F137" s="194">
        <v>0</v>
      </c>
      <c r="G137" s="194">
        <v>0</v>
      </c>
      <c r="H137" s="194">
        <v>0</v>
      </c>
      <c r="I137" s="195">
        <f>SUM(C137:H137)</f>
        <v>2797000</v>
      </c>
      <c r="J137" s="194">
        <v>675000</v>
      </c>
      <c r="K137" s="194">
        <v>5500</v>
      </c>
      <c r="L137" s="194">
        <v>0</v>
      </c>
      <c r="M137" s="194">
        <v>0</v>
      </c>
      <c r="N137" s="194">
        <v>0</v>
      </c>
      <c r="O137" s="194">
        <v>0</v>
      </c>
      <c r="P137" s="186">
        <f>SUM(J137:O137)</f>
        <v>680500</v>
      </c>
    </row>
    <row r="138" spans="1:16" ht="26.25" thickBot="1">
      <c r="A138" s="193"/>
      <c r="B138" s="193" t="s">
        <v>487</v>
      </c>
      <c r="C138" s="194">
        <v>0</v>
      </c>
      <c r="D138" s="194">
        <v>150000</v>
      </c>
      <c r="E138" s="194">
        <v>63000</v>
      </c>
      <c r="F138" s="194">
        <v>0</v>
      </c>
      <c r="G138" s="194">
        <v>0</v>
      </c>
      <c r="H138" s="194">
        <v>27000</v>
      </c>
      <c r="I138" s="195">
        <f>SUM(C138:H138)</f>
        <v>240000</v>
      </c>
      <c r="J138" s="194">
        <v>0</v>
      </c>
      <c r="K138" s="194">
        <v>20000</v>
      </c>
      <c r="L138" s="194">
        <v>0</v>
      </c>
      <c r="M138" s="194">
        <v>0</v>
      </c>
      <c r="N138" s="194">
        <v>0</v>
      </c>
      <c r="O138" s="194">
        <v>0</v>
      </c>
      <c r="P138" s="186">
        <f>SUM(J138:O138)</f>
        <v>20000</v>
      </c>
    </row>
    <row r="139" spans="1:16" ht="39" thickBot="1">
      <c r="A139" s="190" t="s">
        <v>196</v>
      </c>
      <c r="B139" s="200" t="s">
        <v>198</v>
      </c>
      <c r="C139" s="192">
        <f>SUM(C140:C141)</f>
        <v>1065000</v>
      </c>
      <c r="D139" s="192">
        <f aca="true" t="shared" si="75" ref="D139:P139">SUM(D140:D141)</f>
        <v>300000</v>
      </c>
      <c r="E139" s="192">
        <f t="shared" si="75"/>
        <v>320000</v>
      </c>
      <c r="F139" s="192">
        <f t="shared" si="75"/>
        <v>2460000</v>
      </c>
      <c r="G139" s="192">
        <f t="shared" si="75"/>
        <v>5000</v>
      </c>
      <c r="H139" s="192">
        <f t="shared" si="75"/>
        <v>1600000</v>
      </c>
      <c r="I139" s="192">
        <f t="shared" si="75"/>
        <v>5750000</v>
      </c>
      <c r="J139" s="192">
        <f t="shared" si="75"/>
        <v>250000</v>
      </c>
      <c r="K139" s="192">
        <f t="shared" si="75"/>
        <v>0</v>
      </c>
      <c r="L139" s="192">
        <f t="shared" si="75"/>
        <v>0</v>
      </c>
      <c r="M139" s="192">
        <f t="shared" si="75"/>
        <v>500000</v>
      </c>
      <c r="N139" s="192">
        <f t="shared" si="75"/>
        <v>0</v>
      </c>
      <c r="O139" s="192">
        <f t="shared" si="75"/>
        <v>400000</v>
      </c>
      <c r="P139" s="186">
        <f t="shared" si="75"/>
        <v>1150000</v>
      </c>
    </row>
    <row r="140" spans="1:16" ht="13.5" thickBot="1">
      <c r="A140" s="193"/>
      <c r="B140" s="193" t="s">
        <v>496</v>
      </c>
      <c r="C140" s="194">
        <v>500000</v>
      </c>
      <c r="D140" s="194">
        <v>300000</v>
      </c>
      <c r="E140" s="194">
        <v>300000</v>
      </c>
      <c r="F140" s="194">
        <v>2295000</v>
      </c>
      <c r="G140" s="194">
        <v>5000</v>
      </c>
      <c r="H140" s="194">
        <v>1600000</v>
      </c>
      <c r="I140" s="195">
        <f>SUM(C140:H140)</f>
        <v>5000000</v>
      </c>
      <c r="J140" s="194">
        <v>100000</v>
      </c>
      <c r="K140" s="194">
        <v>0</v>
      </c>
      <c r="L140" s="194">
        <v>0</v>
      </c>
      <c r="M140" s="194">
        <v>500000</v>
      </c>
      <c r="N140" s="194">
        <v>0</v>
      </c>
      <c r="O140" s="194">
        <v>400000</v>
      </c>
      <c r="P140" s="186">
        <f>SUM(J140:O140)</f>
        <v>1000000</v>
      </c>
    </row>
    <row r="141" spans="1:16" ht="13.5" thickBot="1">
      <c r="A141" s="193"/>
      <c r="B141" s="193" t="s">
        <v>497</v>
      </c>
      <c r="C141" s="194">
        <v>565000</v>
      </c>
      <c r="D141" s="194">
        <v>0</v>
      </c>
      <c r="E141" s="194">
        <v>20000</v>
      </c>
      <c r="F141" s="194">
        <v>165000</v>
      </c>
      <c r="G141" s="194">
        <v>0</v>
      </c>
      <c r="H141" s="194">
        <v>0</v>
      </c>
      <c r="I141" s="195">
        <f>SUM(C141:H141)</f>
        <v>750000</v>
      </c>
      <c r="J141" s="194">
        <v>150000</v>
      </c>
      <c r="K141" s="194">
        <v>0</v>
      </c>
      <c r="L141" s="194">
        <v>0</v>
      </c>
      <c r="M141" s="194">
        <v>0</v>
      </c>
      <c r="N141" s="194">
        <v>0</v>
      </c>
      <c r="O141" s="194">
        <v>0</v>
      </c>
      <c r="P141" s="186">
        <f>SUM(J141:O141)</f>
        <v>150000</v>
      </c>
    </row>
    <row r="142" spans="1:16" ht="26.25" thickBot="1">
      <c r="A142" s="187" t="s">
        <v>647</v>
      </c>
      <c r="B142" s="188" t="s">
        <v>203</v>
      </c>
      <c r="C142" s="189">
        <f>SUM(C143+C147+C154)</f>
        <v>8362410</v>
      </c>
      <c r="D142" s="189">
        <f aca="true" t="shared" si="76" ref="D142:J142">SUM(D143+D147+D154)</f>
        <v>17569045.92</v>
      </c>
      <c r="E142" s="189">
        <f t="shared" si="76"/>
        <v>12198100</v>
      </c>
      <c r="F142" s="189">
        <f t="shared" si="76"/>
        <v>42083403.77</v>
      </c>
      <c r="G142" s="189">
        <f t="shared" si="76"/>
        <v>0</v>
      </c>
      <c r="H142" s="189">
        <f t="shared" si="76"/>
        <v>1464920</v>
      </c>
      <c r="I142" s="189">
        <f>SUM(C142:H142)</f>
        <v>81677879.69</v>
      </c>
      <c r="J142" s="189">
        <f t="shared" si="76"/>
        <v>1521000</v>
      </c>
      <c r="K142" s="189">
        <f>SUM(K143+K147+K154)</f>
        <v>3996174.7</v>
      </c>
      <c r="L142" s="189">
        <f>SUM(L143+L147+L154)</f>
        <v>3818500</v>
      </c>
      <c r="M142" s="189">
        <f>SUM(M143+M147+M154)</f>
        <v>11676656.62</v>
      </c>
      <c r="N142" s="189">
        <f>SUM(N143+N147+N154)</f>
        <v>0</v>
      </c>
      <c r="O142" s="189">
        <f>SUM(O143+O147+O154)</f>
        <v>140500</v>
      </c>
      <c r="P142" s="186">
        <f>SUM(J142:O142)</f>
        <v>21152831.32</v>
      </c>
    </row>
    <row r="143" spans="1:16" ht="39" thickBot="1">
      <c r="A143" s="190" t="s">
        <v>200</v>
      </c>
      <c r="B143" s="191" t="s">
        <v>204</v>
      </c>
      <c r="C143" s="192">
        <f>SUM(C144:C146)</f>
        <v>1690080</v>
      </c>
      <c r="D143" s="192">
        <f aca="true" t="shared" si="77" ref="D143:P143">SUM(D144:D146)</f>
        <v>1604200</v>
      </c>
      <c r="E143" s="192">
        <f t="shared" si="77"/>
        <v>3361800</v>
      </c>
      <c r="F143" s="192">
        <f t="shared" si="77"/>
        <v>0</v>
      </c>
      <c r="G143" s="192">
        <f t="shared" si="77"/>
        <v>0</v>
      </c>
      <c r="H143" s="192">
        <f t="shared" si="77"/>
        <v>569920</v>
      </c>
      <c r="I143" s="195">
        <f t="shared" si="77"/>
        <v>7226000</v>
      </c>
      <c r="J143" s="192">
        <f t="shared" si="77"/>
        <v>396000</v>
      </c>
      <c r="K143" s="192">
        <f t="shared" si="77"/>
        <v>390000</v>
      </c>
      <c r="L143" s="192">
        <f t="shared" si="77"/>
        <v>802000</v>
      </c>
      <c r="M143" s="192">
        <f t="shared" si="77"/>
        <v>0</v>
      </c>
      <c r="N143" s="192">
        <f t="shared" si="77"/>
        <v>0</v>
      </c>
      <c r="O143" s="192">
        <f t="shared" si="77"/>
        <v>133000</v>
      </c>
      <c r="P143" s="186">
        <f t="shared" si="77"/>
        <v>1721000</v>
      </c>
    </row>
    <row r="144" spans="1:16" ht="26.25" thickBot="1">
      <c r="A144" s="193"/>
      <c r="B144" s="193" t="s">
        <v>507</v>
      </c>
      <c r="C144" s="194">
        <v>0</v>
      </c>
      <c r="D144" s="194">
        <v>975000</v>
      </c>
      <c r="E144" s="194">
        <v>2418000</v>
      </c>
      <c r="F144" s="194">
        <v>0</v>
      </c>
      <c r="G144" s="194">
        <v>0</v>
      </c>
      <c r="H144" s="194">
        <v>507000</v>
      </c>
      <c r="I144" s="195">
        <f>SUM(C144:H144)</f>
        <v>3900000</v>
      </c>
      <c r="J144" s="194">
        <v>0</v>
      </c>
      <c r="K144" s="194">
        <v>220000</v>
      </c>
      <c r="L144" s="194">
        <v>552000</v>
      </c>
      <c r="M144" s="194">
        <v>0</v>
      </c>
      <c r="N144" s="194">
        <v>0</v>
      </c>
      <c r="O144" s="194">
        <v>128000</v>
      </c>
      <c r="P144" s="186">
        <f>SUM(J144:O144)</f>
        <v>900000</v>
      </c>
    </row>
    <row r="145" spans="1:16" ht="26.25" thickBot="1">
      <c r="A145" s="193"/>
      <c r="B145" s="193" t="s">
        <v>508</v>
      </c>
      <c r="C145" s="194">
        <v>180000</v>
      </c>
      <c r="D145" s="194">
        <v>0</v>
      </c>
      <c r="E145" s="194">
        <v>0</v>
      </c>
      <c r="F145" s="194">
        <v>0</v>
      </c>
      <c r="G145" s="194">
        <v>0</v>
      </c>
      <c r="H145" s="194">
        <v>0</v>
      </c>
      <c r="I145" s="195">
        <f>SUM(C145:H145)</f>
        <v>180000</v>
      </c>
      <c r="J145" s="194">
        <v>30000</v>
      </c>
      <c r="K145" s="194">
        <v>0</v>
      </c>
      <c r="L145" s="194">
        <v>0</v>
      </c>
      <c r="M145" s="194">
        <v>0</v>
      </c>
      <c r="N145" s="194">
        <v>0</v>
      </c>
      <c r="O145" s="194">
        <v>0</v>
      </c>
      <c r="P145" s="186">
        <f>SUM(J145:O145)</f>
        <v>30000</v>
      </c>
    </row>
    <row r="146" spans="1:16" ht="26.25" thickBot="1">
      <c r="A146" s="193"/>
      <c r="B146" s="193" t="s">
        <v>509</v>
      </c>
      <c r="C146" s="194">
        <v>1510080</v>
      </c>
      <c r="D146" s="194">
        <v>629200</v>
      </c>
      <c r="E146" s="194">
        <v>943800</v>
      </c>
      <c r="F146" s="194">
        <v>0</v>
      </c>
      <c r="G146" s="194">
        <v>0</v>
      </c>
      <c r="H146" s="194">
        <v>62920</v>
      </c>
      <c r="I146" s="195">
        <f>SUM(C146:H146)</f>
        <v>3146000</v>
      </c>
      <c r="J146" s="194">
        <v>366000</v>
      </c>
      <c r="K146" s="194">
        <v>170000</v>
      </c>
      <c r="L146" s="194">
        <v>250000</v>
      </c>
      <c r="M146" s="194">
        <v>0</v>
      </c>
      <c r="N146" s="194">
        <v>0</v>
      </c>
      <c r="O146" s="194">
        <v>5000</v>
      </c>
      <c r="P146" s="186">
        <f>SUM(J146:O146)</f>
        <v>791000</v>
      </c>
    </row>
    <row r="147" spans="1:16" ht="39" thickBot="1">
      <c r="A147" s="190" t="s">
        <v>201</v>
      </c>
      <c r="B147" s="200" t="s">
        <v>261</v>
      </c>
      <c r="C147" s="192">
        <f>SUM(C148:C153)</f>
        <v>6447330</v>
      </c>
      <c r="D147" s="192">
        <f aca="true" t="shared" si="78" ref="D147:P147">SUM(D148:D153)</f>
        <v>15649845.92</v>
      </c>
      <c r="E147" s="192">
        <f t="shared" si="78"/>
        <v>8521300</v>
      </c>
      <c r="F147" s="192">
        <f t="shared" si="78"/>
        <v>42083403.77</v>
      </c>
      <c r="G147" s="192">
        <f t="shared" si="78"/>
        <v>0</v>
      </c>
      <c r="H147" s="192">
        <f t="shared" si="78"/>
        <v>850000</v>
      </c>
      <c r="I147" s="192">
        <f>SUM(I148:I153)</f>
        <v>74271879.69</v>
      </c>
      <c r="J147" s="192">
        <f t="shared" si="78"/>
        <v>1087500</v>
      </c>
      <c r="K147" s="192">
        <f t="shared" si="78"/>
        <v>3553674.7</v>
      </c>
      <c r="L147" s="192">
        <f t="shared" si="78"/>
        <v>2964000</v>
      </c>
      <c r="M147" s="192">
        <f t="shared" si="78"/>
        <v>11676656.62</v>
      </c>
      <c r="N147" s="192">
        <f t="shared" si="78"/>
        <v>0</v>
      </c>
      <c r="O147" s="192">
        <f t="shared" si="78"/>
        <v>0</v>
      </c>
      <c r="P147" s="186">
        <f t="shared" si="78"/>
        <v>19281831.32</v>
      </c>
    </row>
    <row r="148" spans="1:16" ht="13.5" thickBot="1">
      <c r="A148" s="193"/>
      <c r="B148" s="193" t="s">
        <v>514</v>
      </c>
      <c r="C148" s="194">
        <v>1700000</v>
      </c>
      <c r="D148" s="194">
        <v>3400000</v>
      </c>
      <c r="E148" s="194">
        <v>2550000</v>
      </c>
      <c r="F148" s="194">
        <v>0</v>
      </c>
      <c r="G148" s="194">
        <v>0</v>
      </c>
      <c r="H148" s="194">
        <v>850000</v>
      </c>
      <c r="I148" s="195">
        <f>SUM(C148:H148)</f>
        <v>8500000</v>
      </c>
      <c r="J148" s="194">
        <v>0</v>
      </c>
      <c r="K148" s="194">
        <v>750000</v>
      </c>
      <c r="L148" s="194">
        <v>1000000</v>
      </c>
      <c r="M148" s="194">
        <v>0</v>
      </c>
      <c r="N148" s="194">
        <v>0</v>
      </c>
      <c r="O148" s="194">
        <v>0</v>
      </c>
      <c r="P148" s="186">
        <v>1750000</v>
      </c>
    </row>
    <row r="149" spans="1:16" ht="13.5" thickBot="1">
      <c r="A149" s="193"/>
      <c r="B149" s="193" t="s">
        <v>515</v>
      </c>
      <c r="C149" s="194">
        <v>346080</v>
      </c>
      <c r="D149" s="194">
        <v>1961120</v>
      </c>
      <c r="E149" s="194">
        <v>576800</v>
      </c>
      <c r="F149" s="194">
        <v>0</v>
      </c>
      <c r="G149" s="194">
        <v>0</v>
      </c>
      <c r="H149" s="194">
        <v>0</v>
      </c>
      <c r="I149" s="195">
        <v>3604000</v>
      </c>
      <c r="J149" s="194">
        <v>0</v>
      </c>
      <c r="K149" s="194">
        <v>500000</v>
      </c>
      <c r="L149" s="194">
        <v>224000</v>
      </c>
      <c r="M149" s="194">
        <v>0</v>
      </c>
      <c r="N149" s="194">
        <v>0</v>
      </c>
      <c r="O149" s="194">
        <v>0</v>
      </c>
      <c r="P149" s="186">
        <v>724000</v>
      </c>
    </row>
    <row r="150" spans="1:16" ht="39" thickBot="1">
      <c r="A150" s="193"/>
      <c r="B150" s="193" t="s">
        <v>516</v>
      </c>
      <c r="C150" s="194">
        <v>4401250</v>
      </c>
      <c r="D150" s="194">
        <v>3521000</v>
      </c>
      <c r="E150" s="194">
        <v>5281500</v>
      </c>
      <c r="F150" s="194">
        <v>4401250</v>
      </c>
      <c r="G150" s="194">
        <v>0</v>
      </c>
      <c r="H150" s="194">
        <v>0</v>
      </c>
      <c r="I150" s="195">
        <f aca="true" t="shared" si="79" ref="I150:I155">SUM(C150:H150)</f>
        <v>17605000</v>
      </c>
      <c r="J150" s="194">
        <v>1087500</v>
      </c>
      <c r="K150" s="194">
        <v>435000</v>
      </c>
      <c r="L150" s="194">
        <v>1740000</v>
      </c>
      <c r="M150" s="194">
        <v>1087500</v>
      </c>
      <c r="N150" s="194">
        <v>0</v>
      </c>
      <c r="O150" s="194">
        <v>0</v>
      </c>
      <c r="P150" s="186">
        <f aca="true" t="shared" si="80" ref="P150:P155">SUM(J150:O150)</f>
        <v>4350000</v>
      </c>
    </row>
    <row r="151" spans="1:16" ht="26.25" thickBot="1">
      <c r="A151" s="193"/>
      <c r="B151" s="193" t="s">
        <v>517</v>
      </c>
      <c r="C151" s="194">
        <v>0</v>
      </c>
      <c r="D151" s="194">
        <v>0</v>
      </c>
      <c r="E151" s="194">
        <v>113000</v>
      </c>
      <c r="F151" s="194">
        <v>0</v>
      </c>
      <c r="G151" s="194">
        <v>0</v>
      </c>
      <c r="H151" s="194">
        <v>0</v>
      </c>
      <c r="I151" s="195">
        <f t="shared" si="79"/>
        <v>113000</v>
      </c>
      <c r="J151" s="194">
        <v>0</v>
      </c>
      <c r="K151" s="194">
        <v>0</v>
      </c>
      <c r="L151" s="194">
        <v>0</v>
      </c>
      <c r="M151" s="194">
        <v>0</v>
      </c>
      <c r="N151" s="194">
        <v>0</v>
      </c>
      <c r="O151" s="194">
        <v>0</v>
      </c>
      <c r="P151" s="186">
        <f t="shared" si="80"/>
        <v>0</v>
      </c>
    </row>
    <row r="152" spans="1:16" ht="26.25" thickBot="1">
      <c r="A152" s="193"/>
      <c r="B152" s="193" t="s">
        <v>518</v>
      </c>
      <c r="C152" s="198">
        <v>0</v>
      </c>
      <c r="D152" s="198">
        <v>6649791.84</v>
      </c>
      <c r="E152" s="198">
        <v>0</v>
      </c>
      <c r="F152" s="198">
        <v>37682153.77</v>
      </c>
      <c r="G152" s="198">
        <v>0</v>
      </c>
      <c r="H152" s="198">
        <v>0</v>
      </c>
      <c r="I152" s="195">
        <f t="shared" si="79"/>
        <v>44331945.61</v>
      </c>
      <c r="J152" s="198">
        <v>0</v>
      </c>
      <c r="K152" s="198">
        <v>1868674.7</v>
      </c>
      <c r="L152" s="198">
        <v>0</v>
      </c>
      <c r="M152" s="233">
        <v>10589156.62</v>
      </c>
      <c r="N152" s="198">
        <v>0</v>
      </c>
      <c r="O152" s="198">
        <v>0</v>
      </c>
      <c r="P152" s="186">
        <f t="shared" si="80"/>
        <v>12457831.319999998</v>
      </c>
    </row>
    <row r="153" spans="1:16" ht="13.5" thickBot="1">
      <c r="A153" s="193"/>
      <c r="B153" s="197" t="s">
        <v>524</v>
      </c>
      <c r="C153" s="198">
        <v>0</v>
      </c>
      <c r="D153" s="198">
        <v>117934.08</v>
      </c>
      <c r="E153" s="198">
        <v>0</v>
      </c>
      <c r="F153" s="198">
        <v>0</v>
      </c>
      <c r="G153" s="198">
        <v>0</v>
      </c>
      <c r="H153" s="198">
        <v>0</v>
      </c>
      <c r="I153" s="195">
        <f t="shared" si="79"/>
        <v>117934.08</v>
      </c>
      <c r="J153" s="198">
        <v>0</v>
      </c>
      <c r="K153" s="198">
        <v>0</v>
      </c>
      <c r="L153" s="198">
        <v>0</v>
      </c>
      <c r="M153" s="233">
        <v>0</v>
      </c>
      <c r="N153" s="198">
        <v>0</v>
      </c>
      <c r="O153" s="198">
        <v>0</v>
      </c>
      <c r="P153" s="186">
        <f t="shared" si="80"/>
        <v>0</v>
      </c>
    </row>
    <row r="154" spans="1:16" ht="26.25" thickBot="1">
      <c r="A154" s="190" t="s">
        <v>202</v>
      </c>
      <c r="B154" s="200" t="s">
        <v>206</v>
      </c>
      <c r="C154" s="192">
        <f>SUM(C155)</f>
        <v>225000</v>
      </c>
      <c r="D154" s="192">
        <f aca="true" t="shared" si="81" ref="D154:P154">SUM(D155)</f>
        <v>315000</v>
      </c>
      <c r="E154" s="192">
        <f t="shared" si="81"/>
        <v>315000</v>
      </c>
      <c r="F154" s="192">
        <f t="shared" si="81"/>
        <v>0</v>
      </c>
      <c r="G154" s="192">
        <f t="shared" si="81"/>
        <v>0</v>
      </c>
      <c r="H154" s="192">
        <f t="shared" si="81"/>
        <v>45000</v>
      </c>
      <c r="I154" s="192">
        <f t="shared" si="81"/>
        <v>900000</v>
      </c>
      <c r="J154" s="192">
        <f t="shared" si="81"/>
        <v>37500</v>
      </c>
      <c r="K154" s="192">
        <f t="shared" si="81"/>
        <v>52500</v>
      </c>
      <c r="L154" s="192">
        <f t="shared" si="81"/>
        <v>52500</v>
      </c>
      <c r="M154" s="192">
        <f t="shared" si="81"/>
        <v>0</v>
      </c>
      <c r="N154" s="192">
        <f t="shared" si="81"/>
        <v>0</v>
      </c>
      <c r="O154" s="192">
        <f t="shared" si="81"/>
        <v>7500</v>
      </c>
      <c r="P154" s="186">
        <f t="shared" si="81"/>
        <v>150000</v>
      </c>
    </row>
    <row r="155" spans="1:16" ht="26.25" thickBot="1">
      <c r="A155" s="193"/>
      <c r="B155" s="193" t="s">
        <v>523</v>
      </c>
      <c r="C155" s="194">
        <v>225000</v>
      </c>
      <c r="D155" s="194">
        <v>315000</v>
      </c>
      <c r="E155" s="194">
        <v>315000</v>
      </c>
      <c r="F155" s="194">
        <v>0</v>
      </c>
      <c r="G155" s="194">
        <v>0</v>
      </c>
      <c r="H155" s="194">
        <v>45000</v>
      </c>
      <c r="I155" s="195">
        <f t="shared" si="79"/>
        <v>900000</v>
      </c>
      <c r="J155" s="194">
        <v>37500</v>
      </c>
      <c r="K155" s="194">
        <v>52500</v>
      </c>
      <c r="L155" s="194">
        <v>52500</v>
      </c>
      <c r="M155" s="194">
        <v>0</v>
      </c>
      <c r="N155" s="194">
        <v>0</v>
      </c>
      <c r="O155" s="194">
        <v>7500</v>
      </c>
      <c r="P155" s="186">
        <f t="shared" si="80"/>
        <v>150000</v>
      </c>
    </row>
    <row r="156" spans="1:16" s="180" customFormat="1" ht="32.25" customHeight="1" thickBot="1">
      <c r="A156" s="183" t="s">
        <v>207</v>
      </c>
      <c r="B156" s="184" t="s">
        <v>208</v>
      </c>
      <c r="C156" s="185">
        <f aca="true" t="shared" si="82" ref="C156:P156">SUM(C157+C176+C188+C201)</f>
        <v>126845692.44</v>
      </c>
      <c r="D156" s="185">
        <f t="shared" si="82"/>
        <v>47936776.61</v>
      </c>
      <c r="E156" s="185">
        <f t="shared" si="82"/>
        <v>45970484.11</v>
      </c>
      <c r="F156" s="185">
        <f t="shared" si="82"/>
        <v>423235268.54999995</v>
      </c>
      <c r="G156" s="185">
        <f t="shared" si="82"/>
        <v>29022265</v>
      </c>
      <c r="H156" s="185">
        <f t="shared" si="82"/>
        <v>4169465</v>
      </c>
      <c r="I156" s="185">
        <f>SUM(I157+I176+I188+I201)</f>
        <v>677179951.71</v>
      </c>
      <c r="J156" s="185">
        <f t="shared" si="82"/>
        <v>42637013.84</v>
      </c>
      <c r="K156" s="185">
        <f t="shared" si="82"/>
        <v>8744887.19</v>
      </c>
      <c r="L156" s="185">
        <f t="shared" si="82"/>
        <v>35750439.21</v>
      </c>
      <c r="M156" s="185">
        <f t="shared" si="82"/>
        <v>212390559.79000002</v>
      </c>
      <c r="N156" s="185">
        <f t="shared" si="82"/>
        <v>20902212.66</v>
      </c>
      <c r="O156" s="185">
        <f t="shared" si="82"/>
        <v>8848449.22</v>
      </c>
      <c r="P156" s="186">
        <f t="shared" si="82"/>
        <v>329860246.91</v>
      </c>
    </row>
    <row r="157" spans="1:16" ht="13.5" thickBot="1">
      <c r="A157" s="187" t="s">
        <v>648</v>
      </c>
      <c r="B157" s="188" t="s">
        <v>214</v>
      </c>
      <c r="C157" s="189">
        <f>SUM(C158+C161+C163+C171)</f>
        <v>83007739.44</v>
      </c>
      <c r="D157" s="189">
        <f aca="true" t="shared" si="83" ref="D157:P157">SUM(D158+D161+D163+D171)</f>
        <v>11880000</v>
      </c>
      <c r="E157" s="189">
        <f t="shared" si="83"/>
        <v>24471730.5</v>
      </c>
      <c r="F157" s="189">
        <f t="shared" si="83"/>
        <v>268598685.02</v>
      </c>
      <c r="G157" s="189">
        <f t="shared" si="83"/>
        <v>9102865</v>
      </c>
      <c r="H157" s="189">
        <f t="shared" si="83"/>
        <v>3983429</v>
      </c>
      <c r="I157" s="189">
        <f t="shared" si="83"/>
        <v>401044448.96</v>
      </c>
      <c r="J157" s="189">
        <f t="shared" si="83"/>
        <v>35781398.34</v>
      </c>
      <c r="K157" s="189">
        <f t="shared" si="83"/>
        <v>3030000</v>
      </c>
      <c r="L157" s="189">
        <f t="shared" si="83"/>
        <v>23046692</v>
      </c>
      <c r="M157" s="189">
        <f t="shared" si="83"/>
        <v>169743406.74</v>
      </c>
      <c r="N157" s="189">
        <f t="shared" si="83"/>
        <v>14892712.66</v>
      </c>
      <c r="O157" s="189">
        <f t="shared" si="83"/>
        <v>8815189.22</v>
      </c>
      <c r="P157" s="234">
        <f t="shared" si="83"/>
        <v>255309398.96</v>
      </c>
    </row>
    <row r="158" spans="1:16" ht="43.5" customHeight="1" thickBot="1">
      <c r="A158" s="190" t="s">
        <v>210</v>
      </c>
      <c r="B158" s="191" t="s">
        <v>215</v>
      </c>
      <c r="C158" s="192">
        <f>SUM(C159:C160)</f>
        <v>0</v>
      </c>
      <c r="D158" s="192">
        <f aca="true" t="shared" si="84" ref="D158:P158">SUM(D159:D160)</f>
        <v>760000</v>
      </c>
      <c r="E158" s="192">
        <f t="shared" si="84"/>
        <v>35000</v>
      </c>
      <c r="F158" s="192">
        <f t="shared" si="84"/>
        <v>82000</v>
      </c>
      <c r="G158" s="192">
        <f t="shared" si="84"/>
        <v>0</v>
      </c>
      <c r="H158" s="192">
        <f t="shared" si="84"/>
        <v>303000</v>
      </c>
      <c r="I158" s="192">
        <f t="shared" si="84"/>
        <v>1180000</v>
      </c>
      <c r="J158" s="192">
        <f t="shared" si="84"/>
        <v>0</v>
      </c>
      <c r="K158" s="192">
        <f t="shared" si="84"/>
        <v>300000</v>
      </c>
      <c r="L158" s="192">
        <f t="shared" si="84"/>
        <v>0</v>
      </c>
      <c r="M158" s="192">
        <f t="shared" si="84"/>
        <v>0</v>
      </c>
      <c r="N158" s="192">
        <f t="shared" si="84"/>
        <v>0</v>
      </c>
      <c r="O158" s="192">
        <f t="shared" si="84"/>
        <v>65000</v>
      </c>
      <c r="P158" s="186">
        <f t="shared" si="84"/>
        <v>365000</v>
      </c>
    </row>
    <row r="159" spans="1:16" ht="26.25" thickBot="1">
      <c r="A159" s="235"/>
      <c r="B159" s="236" t="s">
        <v>528</v>
      </c>
      <c r="C159" s="194">
        <v>0</v>
      </c>
      <c r="D159" s="194">
        <v>480000</v>
      </c>
      <c r="E159" s="194">
        <v>35000</v>
      </c>
      <c r="F159" s="194">
        <v>82000</v>
      </c>
      <c r="G159" s="194">
        <v>0</v>
      </c>
      <c r="H159" s="194">
        <v>303000</v>
      </c>
      <c r="I159" s="195">
        <f>SUM(C159:H159)</f>
        <v>900000</v>
      </c>
      <c r="J159" s="194">
        <v>0</v>
      </c>
      <c r="K159" s="194">
        <v>140000</v>
      </c>
      <c r="L159" s="194">
        <v>0</v>
      </c>
      <c r="M159" s="194">
        <v>0</v>
      </c>
      <c r="N159" s="194">
        <v>0</v>
      </c>
      <c r="O159" s="194">
        <v>65000</v>
      </c>
      <c r="P159" s="186">
        <f>SUM(J159:O159)</f>
        <v>205000</v>
      </c>
    </row>
    <row r="160" spans="1:16" ht="39" thickBot="1">
      <c r="A160" s="235"/>
      <c r="B160" s="236" t="s">
        <v>566</v>
      </c>
      <c r="C160" s="194">
        <v>0</v>
      </c>
      <c r="D160" s="194">
        <v>280000</v>
      </c>
      <c r="E160" s="194">
        <v>0</v>
      </c>
      <c r="F160" s="194">
        <v>0</v>
      </c>
      <c r="G160" s="194">
        <v>0</v>
      </c>
      <c r="H160" s="194">
        <v>0</v>
      </c>
      <c r="I160" s="195">
        <f>SUM(C160:H160)</f>
        <v>280000</v>
      </c>
      <c r="J160" s="194">
        <v>0</v>
      </c>
      <c r="K160" s="194">
        <v>160000</v>
      </c>
      <c r="L160" s="194">
        <v>0</v>
      </c>
      <c r="M160" s="194">
        <v>0</v>
      </c>
      <c r="N160" s="194">
        <v>0</v>
      </c>
      <c r="O160" s="194">
        <v>0</v>
      </c>
      <c r="P160" s="186">
        <f>SUM(J160:O160)</f>
        <v>160000</v>
      </c>
    </row>
    <row r="161" spans="1:16" ht="26.25" thickBot="1">
      <c r="A161" s="190" t="s">
        <v>211</v>
      </c>
      <c r="B161" s="200" t="s">
        <v>216</v>
      </c>
      <c r="C161" s="192">
        <f>SUM(C162)</f>
        <v>150000</v>
      </c>
      <c r="D161" s="192">
        <f aca="true" t="shared" si="85" ref="D161:P161">SUM(D162)</f>
        <v>620000</v>
      </c>
      <c r="E161" s="192">
        <f t="shared" si="85"/>
        <v>35000</v>
      </c>
      <c r="F161" s="192">
        <f t="shared" si="85"/>
        <v>365000</v>
      </c>
      <c r="G161" s="192">
        <f t="shared" si="85"/>
        <v>0</v>
      </c>
      <c r="H161" s="192">
        <f t="shared" si="85"/>
        <v>50000</v>
      </c>
      <c r="I161" s="192">
        <f t="shared" si="85"/>
        <v>1220000</v>
      </c>
      <c r="J161" s="192">
        <f t="shared" si="85"/>
        <v>0</v>
      </c>
      <c r="K161" s="192">
        <f t="shared" si="85"/>
        <v>230000</v>
      </c>
      <c r="L161" s="192">
        <f t="shared" si="85"/>
        <v>5000</v>
      </c>
      <c r="M161" s="192">
        <f t="shared" si="85"/>
        <v>15000</v>
      </c>
      <c r="N161" s="192">
        <f t="shared" si="85"/>
        <v>0</v>
      </c>
      <c r="O161" s="192">
        <f t="shared" si="85"/>
        <v>40000</v>
      </c>
      <c r="P161" s="186">
        <f t="shared" si="85"/>
        <v>290000</v>
      </c>
    </row>
    <row r="162" spans="1:16" ht="39" thickBot="1">
      <c r="A162" s="235"/>
      <c r="B162" s="159" t="s">
        <v>532</v>
      </c>
      <c r="C162" s="194">
        <v>150000</v>
      </c>
      <c r="D162" s="194">
        <v>620000</v>
      </c>
      <c r="E162" s="194">
        <v>35000</v>
      </c>
      <c r="F162" s="194">
        <v>365000</v>
      </c>
      <c r="G162" s="194">
        <v>0</v>
      </c>
      <c r="H162" s="194">
        <v>50000</v>
      </c>
      <c r="I162" s="195">
        <f>SUM(C162:H162)</f>
        <v>1220000</v>
      </c>
      <c r="J162" s="194">
        <v>0</v>
      </c>
      <c r="K162" s="194">
        <v>230000</v>
      </c>
      <c r="L162" s="194">
        <v>5000</v>
      </c>
      <c r="M162" s="194">
        <v>15000</v>
      </c>
      <c r="N162" s="194">
        <v>0</v>
      </c>
      <c r="O162" s="194">
        <v>40000</v>
      </c>
      <c r="P162" s="186">
        <f>SUM(J162:O162)</f>
        <v>290000</v>
      </c>
    </row>
    <row r="163" spans="1:16" ht="39" thickBot="1">
      <c r="A163" s="190" t="s">
        <v>212</v>
      </c>
      <c r="B163" s="200" t="s">
        <v>220</v>
      </c>
      <c r="C163" s="192">
        <f>SUM(C164:C170)</f>
        <v>77447446.94</v>
      </c>
      <c r="D163" s="192">
        <f aca="true" t="shared" si="86" ref="D163:P163">SUM(D164:D170)</f>
        <v>0</v>
      </c>
      <c r="E163" s="192">
        <f t="shared" si="86"/>
        <v>10143438</v>
      </c>
      <c r="F163" s="192">
        <f t="shared" si="86"/>
        <v>260812370.02</v>
      </c>
      <c r="G163" s="192">
        <f t="shared" si="86"/>
        <v>8452865</v>
      </c>
      <c r="H163" s="192">
        <f t="shared" si="86"/>
        <v>3330429</v>
      </c>
      <c r="I163" s="192">
        <f t="shared" si="86"/>
        <v>360186548.96</v>
      </c>
      <c r="J163" s="192">
        <f t="shared" si="86"/>
        <v>33681398.34</v>
      </c>
      <c r="K163" s="192">
        <f t="shared" si="86"/>
        <v>0</v>
      </c>
      <c r="L163" s="192">
        <f t="shared" si="86"/>
        <v>18281692</v>
      </c>
      <c r="M163" s="192">
        <f t="shared" si="86"/>
        <v>165941406.74</v>
      </c>
      <c r="N163" s="192">
        <f t="shared" si="86"/>
        <v>13642712.66</v>
      </c>
      <c r="O163" s="192">
        <f t="shared" si="86"/>
        <v>8230189.220000001</v>
      </c>
      <c r="P163" s="186">
        <f t="shared" si="86"/>
        <v>239777398.96</v>
      </c>
    </row>
    <row r="164" spans="1:17" ht="26.25" thickBot="1">
      <c r="A164" s="235"/>
      <c r="B164" s="236" t="s">
        <v>538</v>
      </c>
      <c r="C164" s="194">
        <v>25358595</v>
      </c>
      <c r="D164" s="194">
        <v>0</v>
      </c>
      <c r="E164" s="194">
        <v>10143438</v>
      </c>
      <c r="F164" s="232">
        <v>121771973</v>
      </c>
      <c r="G164" s="194">
        <v>8452865</v>
      </c>
      <c r="H164" s="194">
        <v>3330429</v>
      </c>
      <c r="I164" s="195">
        <f aca="true" t="shared" si="87" ref="I164:I170">SUM(C164:H164)</f>
        <v>169057300</v>
      </c>
      <c r="J164" s="194">
        <v>15046906</v>
      </c>
      <c r="K164" s="194">
        <v>0</v>
      </c>
      <c r="L164" s="194">
        <v>8598232</v>
      </c>
      <c r="M164" s="232">
        <v>73545514.8</v>
      </c>
      <c r="N164" s="194">
        <v>6416430.63</v>
      </c>
      <c r="O164" s="194">
        <v>3870816.57</v>
      </c>
      <c r="P164" s="186">
        <f aca="true" t="shared" si="88" ref="P164:P170">SUM(J164:O164)</f>
        <v>107477899.99999999</v>
      </c>
      <c r="Q164" s="237"/>
    </row>
    <row r="165" spans="1:17" ht="26.25" thickBot="1">
      <c r="A165" s="235"/>
      <c r="B165" s="236" t="s">
        <v>539</v>
      </c>
      <c r="C165" s="194">
        <v>50400414.6</v>
      </c>
      <c r="D165" s="194">
        <v>0</v>
      </c>
      <c r="E165" s="194">
        <v>0</v>
      </c>
      <c r="F165" s="194">
        <v>129472585.4</v>
      </c>
      <c r="G165" s="194">
        <v>0</v>
      </c>
      <c r="H165" s="194">
        <v>0</v>
      </c>
      <c r="I165" s="195">
        <f t="shared" si="87"/>
        <v>179873000</v>
      </c>
      <c r="J165" s="194">
        <v>16946055</v>
      </c>
      <c r="K165" s="194">
        <v>0</v>
      </c>
      <c r="L165" s="194">
        <v>9683460</v>
      </c>
      <c r="M165" s="194">
        <v>82828080.32</v>
      </c>
      <c r="N165" s="194">
        <v>7226282.03</v>
      </c>
      <c r="O165" s="194">
        <v>4359372.65</v>
      </c>
      <c r="P165" s="186">
        <f t="shared" si="88"/>
        <v>121043250</v>
      </c>
      <c r="Q165" s="237"/>
    </row>
    <row r="166" spans="1:17" ht="26.25" thickBot="1">
      <c r="A166" s="238"/>
      <c r="B166" s="236" t="s">
        <v>540</v>
      </c>
      <c r="C166" s="239">
        <v>925087.34</v>
      </c>
      <c r="D166" s="194">
        <v>0</v>
      </c>
      <c r="E166" s="194">
        <v>0</v>
      </c>
      <c r="F166" s="194">
        <v>5242161.62</v>
      </c>
      <c r="G166" s="194">
        <v>0</v>
      </c>
      <c r="H166" s="194">
        <v>0</v>
      </c>
      <c r="I166" s="195">
        <f t="shared" si="87"/>
        <v>6167248.96</v>
      </c>
      <c r="J166" s="239">
        <v>925087.34</v>
      </c>
      <c r="K166" s="194">
        <v>0</v>
      </c>
      <c r="L166" s="194">
        <v>0</v>
      </c>
      <c r="M166" s="194">
        <v>5242161.62</v>
      </c>
      <c r="N166" s="194">
        <v>0</v>
      </c>
      <c r="O166" s="194">
        <v>0</v>
      </c>
      <c r="P166" s="186">
        <f t="shared" si="88"/>
        <v>6167248.96</v>
      </c>
      <c r="Q166" s="237"/>
    </row>
    <row r="167" spans="1:17" ht="39" thickBot="1">
      <c r="A167" s="238"/>
      <c r="B167" s="236" t="s">
        <v>541</v>
      </c>
      <c r="C167" s="239">
        <v>357000</v>
      </c>
      <c r="D167" s="194">
        <v>0</v>
      </c>
      <c r="E167" s="194">
        <v>0</v>
      </c>
      <c r="F167" s="194">
        <v>2023000</v>
      </c>
      <c r="G167" s="194">
        <v>0</v>
      </c>
      <c r="H167" s="194">
        <v>0</v>
      </c>
      <c r="I167" s="195">
        <f t="shared" si="87"/>
        <v>2380000</v>
      </c>
      <c r="J167" s="239">
        <v>357000</v>
      </c>
      <c r="K167" s="194">
        <v>0</v>
      </c>
      <c r="L167" s="194">
        <v>0</v>
      </c>
      <c r="M167" s="194">
        <v>2023000</v>
      </c>
      <c r="N167" s="194">
        <v>0</v>
      </c>
      <c r="O167" s="194">
        <v>0</v>
      </c>
      <c r="P167" s="186">
        <f t="shared" si="88"/>
        <v>2380000</v>
      </c>
      <c r="Q167" s="237"/>
    </row>
    <row r="168" spans="1:17" ht="26.25" thickBot="1">
      <c r="A168" s="238"/>
      <c r="B168" s="236" t="s">
        <v>542</v>
      </c>
      <c r="C168" s="239">
        <v>51300</v>
      </c>
      <c r="D168" s="194">
        <v>0</v>
      </c>
      <c r="E168" s="194">
        <v>0</v>
      </c>
      <c r="F168" s="194">
        <v>290700</v>
      </c>
      <c r="G168" s="194">
        <v>0</v>
      </c>
      <c r="H168" s="194">
        <v>0</v>
      </c>
      <c r="I168" s="195">
        <f t="shared" si="87"/>
        <v>342000</v>
      </c>
      <c r="J168" s="239">
        <v>51300</v>
      </c>
      <c r="K168" s="194">
        <v>0</v>
      </c>
      <c r="L168" s="194">
        <v>0</v>
      </c>
      <c r="M168" s="194">
        <v>290700</v>
      </c>
      <c r="N168" s="194">
        <v>0</v>
      </c>
      <c r="O168" s="194">
        <v>0</v>
      </c>
      <c r="P168" s="186">
        <f t="shared" si="88"/>
        <v>342000</v>
      </c>
      <c r="Q168" s="237"/>
    </row>
    <row r="169" spans="1:17" ht="39" thickBot="1">
      <c r="A169" s="238"/>
      <c r="B169" s="236" t="s">
        <v>543</v>
      </c>
      <c r="C169" s="239">
        <v>320250</v>
      </c>
      <c r="D169" s="194">
        <v>0</v>
      </c>
      <c r="E169" s="194">
        <v>0</v>
      </c>
      <c r="F169" s="194">
        <v>1814750</v>
      </c>
      <c r="G169" s="194">
        <v>0</v>
      </c>
      <c r="H169" s="194">
        <v>0</v>
      </c>
      <c r="I169" s="195">
        <f t="shared" si="87"/>
        <v>2135000</v>
      </c>
      <c r="J169" s="239">
        <v>320250</v>
      </c>
      <c r="K169" s="194">
        <v>0</v>
      </c>
      <c r="L169" s="194">
        <v>0</v>
      </c>
      <c r="M169" s="194">
        <v>1814750</v>
      </c>
      <c r="N169" s="194">
        <v>0</v>
      </c>
      <c r="O169" s="194">
        <v>0</v>
      </c>
      <c r="P169" s="186">
        <f t="shared" si="88"/>
        <v>2135000</v>
      </c>
      <c r="Q169" s="237"/>
    </row>
    <row r="170" spans="1:17" ht="26.25" thickBot="1">
      <c r="A170" s="238"/>
      <c r="B170" s="236" t="s">
        <v>544</v>
      </c>
      <c r="C170" s="239">
        <v>34800</v>
      </c>
      <c r="D170" s="194">
        <v>0</v>
      </c>
      <c r="E170" s="194">
        <v>0</v>
      </c>
      <c r="F170" s="194">
        <v>197200</v>
      </c>
      <c r="G170" s="194">
        <v>0</v>
      </c>
      <c r="H170" s="194">
        <v>0</v>
      </c>
      <c r="I170" s="195">
        <f t="shared" si="87"/>
        <v>232000</v>
      </c>
      <c r="J170" s="239">
        <v>34800</v>
      </c>
      <c r="K170" s="194">
        <v>0</v>
      </c>
      <c r="L170" s="194">
        <v>0</v>
      </c>
      <c r="M170" s="194">
        <v>197200</v>
      </c>
      <c r="N170" s="194">
        <v>0</v>
      </c>
      <c r="O170" s="194">
        <v>0</v>
      </c>
      <c r="P170" s="186">
        <f t="shared" si="88"/>
        <v>232000</v>
      </c>
      <c r="Q170" s="237"/>
    </row>
    <row r="171" spans="1:17" ht="26.25" thickBot="1">
      <c r="A171" s="190" t="s">
        <v>213</v>
      </c>
      <c r="B171" s="240" t="s">
        <v>221</v>
      </c>
      <c r="C171" s="192">
        <f>SUM(C172:C175)</f>
        <v>5410292.5</v>
      </c>
      <c r="D171" s="192">
        <f aca="true" t="shared" si="89" ref="D171:P171">SUM(D172:D175)</f>
        <v>10500000</v>
      </c>
      <c r="E171" s="192">
        <f t="shared" si="89"/>
        <v>14258292.5</v>
      </c>
      <c r="F171" s="192">
        <f t="shared" si="89"/>
        <v>7339315</v>
      </c>
      <c r="G171" s="192">
        <f t="shared" si="89"/>
        <v>650000</v>
      </c>
      <c r="H171" s="192">
        <f t="shared" si="89"/>
        <v>300000</v>
      </c>
      <c r="I171" s="192">
        <f t="shared" si="89"/>
        <v>38457900</v>
      </c>
      <c r="J171" s="192">
        <f t="shared" si="89"/>
        <v>2100000</v>
      </c>
      <c r="K171" s="192">
        <f t="shared" si="89"/>
        <v>2500000</v>
      </c>
      <c r="L171" s="192">
        <f t="shared" si="89"/>
        <v>4760000</v>
      </c>
      <c r="M171" s="192">
        <f t="shared" si="89"/>
        <v>3787000</v>
      </c>
      <c r="N171" s="192">
        <f t="shared" si="89"/>
        <v>1250000</v>
      </c>
      <c r="O171" s="192">
        <f t="shared" si="89"/>
        <v>480000</v>
      </c>
      <c r="P171" s="186">
        <f t="shared" si="89"/>
        <v>14877000</v>
      </c>
      <c r="Q171" s="237"/>
    </row>
    <row r="172" spans="1:17" ht="13.5" thickBot="1">
      <c r="A172" s="235"/>
      <c r="B172" s="159" t="s">
        <v>548</v>
      </c>
      <c r="C172" s="194">
        <v>2300000</v>
      </c>
      <c r="D172" s="194">
        <v>200000</v>
      </c>
      <c r="E172" s="194">
        <v>648000</v>
      </c>
      <c r="F172" s="194">
        <v>4956000</v>
      </c>
      <c r="G172" s="194">
        <v>650000</v>
      </c>
      <c r="H172" s="194">
        <v>300000</v>
      </c>
      <c r="I172" s="195">
        <f>SUM(C172:H172)</f>
        <v>9054000</v>
      </c>
      <c r="J172" s="194">
        <v>1400000</v>
      </c>
      <c r="K172" s="194">
        <v>0</v>
      </c>
      <c r="L172" s="194">
        <v>560000</v>
      </c>
      <c r="M172" s="194">
        <v>3787000</v>
      </c>
      <c r="N172" s="194">
        <v>1250000</v>
      </c>
      <c r="O172" s="194">
        <v>480000</v>
      </c>
      <c r="P172" s="186">
        <f>SUM(J172:O172)</f>
        <v>7477000</v>
      </c>
      <c r="Q172" s="237"/>
    </row>
    <row r="173" spans="1:17" ht="13.5" thickBot="1">
      <c r="A173" s="235"/>
      <c r="B173" s="241" t="s">
        <v>549</v>
      </c>
      <c r="C173" s="194">
        <v>2900000</v>
      </c>
      <c r="D173" s="194">
        <v>8700000</v>
      </c>
      <c r="E173" s="194">
        <v>13400000</v>
      </c>
      <c r="F173" s="194">
        <v>0</v>
      </c>
      <c r="G173" s="194">
        <v>0</v>
      </c>
      <c r="H173" s="194">
        <v>0</v>
      </c>
      <c r="I173" s="195">
        <f>SUM(C173:H173)</f>
        <v>25000000</v>
      </c>
      <c r="J173" s="194">
        <v>700000</v>
      </c>
      <c r="K173" s="194">
        <v>2100000</v>
      </c>
      <c r="L173" s="194">
        <v>4200000</v>
      </c>
      <c r="M173" s="194">
        <v>0</v>
      </c>
      <c r="N173" s="194">
        <v>0</v>
      </c>
      <c r="O173" s="194">
        <v>0</v>
      </c>
      <c r="P173" s="186">
        <f>SUM(J173:O173)</f>
        <v>7000000</v>
      </c>
      <c r="Q173" s="242"/>
    </row>
    <row r="174" spans="1:16" ht="26.25" thickBot="1">
      <c r="A174" s="235"/>
      <c r="B174" s="159" t="s">
        <v>550</v>
      </c>
      <c r="C174" s="194">
        <v>0</v>
      </c>
      <c r="D174" s="194">
        <v>1600000</v>
      </c>
      <c r="E174" s="194">
        <v>0</v>
      </c>
      <c r="F174" s="194">
        <v>0</v>
      </c>
      <c r="G174" s="194">
        <v>0</v>
      </c>
      <c r="H174" s="194">
        <v>0</v>
      </c>
      <c r="I174" s="195">
        <f>SUM(C174:H174)</f>
        <v>1600000</v>
      </c>
      <c r="J174" s="194">
        <v>0</v>
      </c>
      <c r="K174" s="194">
        <v>400000</v>
      </c>
      <c r="L174" s="194">
        <v>0</v>
      </c>
      <c r="M174" s="194">
        <v>0</v>
      </c>
      <c r="N174" s="194">
        <v>0</v>
      </c>
      <c r="O174" s="194">
        <v>0</v>
      </c>
      <c r="P174" s="186">
        <f>SUM(J174:O174)</f>
        <v>400000</v>
      </c>
    </row>
    <row r="175" spans="1:16" ht="13.5" thickBot="1">
      <c r="A175" s="235"/>
      <c r="B175" s="159" t="s">
        <v>551</v>
      </c>
      <c r="C175" s="194">
        <v>210292.5</v>
      </c>
      <c r="D175" s="194">
        <v>0</v>
      </c>
      <c r="E175" s="194">
        <v>210292.5</v>
      </c>
      <c r="F175" s="194">
        <v>2383315</v>
      </c>
      <c r="G175" s="194">
        <v>0</v>
      </c>
      <c r="H175" s="194">
        <v>0</v>
      </c>
      <c r="I175" s="195">
        <f>SUM(C175:H175)</f>
        <v>2803900</v>
      </c>
      <c r="J175" s="194">
        <v>0</v>
      </c>
      <c r="K175" s="194">
        <v>0</v>
      </c>
      <c r="L175" s="194">
        <v>0</v>
      </c>
      <c r="M175" s="194">
        <v>0</v>
      </c>
      <c r="N175" s="194">
        <v>0</v>
      </c>
      <c r="O175" s="194">
        <v>0</v>
      </c>
      <c r="P175" s="186">
        <f>SUM(J175:O175)</f>
        <v>0</v>
      </c>
    </row>
    <row r="176" spans="1:16" ht="34.5" customHeight="1" thickBot="1">
      <c r="A176" s="188" t="s">
        <v>649</v>
      </c>
      <c r="B176" s="188" t="s">
        <v>223</v>
      </c>
      <c r="C176" s="189">
        <f>SUM(C177+C181+C184+C186)</f>
        <v>10468000</v>
      </c>
      <c r="D176" s="189">
        <f aca="true" t="shared" si="90" ref="D176:I176">SUM(D177+D181+D184+D186)</f>
        <v>5168769.609999999</v>
      </c>
      <c r="E176" s="189">
        <f t="shared" si="90"/>
        <v>13723269.61</v>
      </c>
      <c r="F176" s="189">
        <f t="shared" si="90"/>
        <v>107427555.53</v>
      </c>
      <c r="G176" s="189">
        <f t="shared" si="90"/>
        <v>19819000</v>
      </c>
      <c r="H176" s="189">
        <f t="shared" si="90"/>
        <v>7500</v>
      </c>
      <c r="I176" s="189">
        <f t="shared" si="90"/>
        <v>156614094.75</v>
      </c>
      <c r="J176" s="189">
        <f aca="true" t="shared" si="91" ref="J176:P176">SUM(J177+J181+J184+J186)</f>
        <v>3279400</v>
      </c>
      <c r="K176" s="189">
        <f t="shared" si="91"/>
        <v>1686552.19</v>
      </c>
      <c r="L176" s="189">
        <f t="shared" si="91"/>
        <v>11667052.21</v>
      </c>
      <c r="M176" s="189">
        <f t="shared" si="91"/>
        <v>30299491.55</v>
      </c>
      <c r="N176" s="189">
        <f t="shared" si="91"/>
        <v>6005000</v>
      </c>
      <c r="O176" s="189">
        <f t="shared" si="91"/>
        <v>4700</v>
      </c>
      <c r="P176" s="234">
        <f t="shared" si="91"/>
        <v>52942195.95</v>
      </c>
    </row>
    <row r="177" spans="1:16" ht="33" customHeight="1" thickBot="1">
      <c r="A177" s="190" t="s">
        <v>225</v>
      </c>
      <c r="B177" s="191" t="s">
        <v>262</v>
      </c>
      <c r="C177" s="192">
        <f>SUM(C178:C180)</f>
        <v>8610000</v>
      </c>
      <c r="D177" s="192">
        <f aca="true" t="shared" si="92" ref="D177:O177">SUM(D178:D180)</f>
        <v>500000</v>
      </c>
      <c r="E177" s="192">
        <f t="shared" si="92"/>
        <v>9922500</v>
      </c>
      <c r="F177" s="192">
        <f t="shared" si="92"/>
        <v>53569000</v>
      </c>
      <c r="G177" s="192">
        <f t="shared" si="92"/>
        <v>19459000</v>
      </c>
      <c r="H177" s="192">
        <f t="shared" si="92"/>
        <v>0</v>
      </c>
      <c r="I177" s="192">
        <f t="shared" si="92"/>
        <v>92060500</v>
      </c>
      <c r="J177" s="192">
        <f t="shared" si="92"/>
        <v>2822000</v>
      </c>
      <c r="K177" s="192">
        <f t="shared" si="92"/>
        <v>0</v>
      </c>
      <c r="L177" s="192">
        <f t="shared" si="92"/>
        <v>10095500</v>
      </c>
      <c r="M177" s="192">
        <f t="shared" si="92"/>
        <v>11520000</v>
      </c>
      <c r="N177" s="192">
        <f t="shared" si="92"/>
        <v>5920000</v>
      </c>
      <c r="O177" s="192">
        <f t="shared" si="92"/>
        <v>0</v>
      </c>
      <c r="P177" s="186">
        <f>SUM(P178:P180)</f>
        <v>30357500</v>
      </c>
    </row>
    <row r="178" spans="1:16" ht="26.25" thickBot="1">
      <c r="A178" s="235"/>
      <c r="B178" s="159" t="s">
        <v>556</v>
      </c>
      <c r="C178" s="194">
        <v>0</v>
      </c>
      <c r="D178" s="194">
        <v>0</v>
      </c>
      <c r="E178" s="194">
        <v>0</v>
      </c>
      <c r="F178" s="194">
        <v>0</v>
      </c>
      <c r="G178" s="194">
        <v>15751000</v>
      </c>
      <c r="H178" s="194">
        <v>0</v>
      </c>
      <c r="I178" s="195">
        <f>SUM(C178:H178)</f>
        <v>15751000</v>
      </c>
      <c r="J178" s="194">
        <v>0</v>
      </c>
      <c r="K178" s="194">
        <v>0</v>
      </c>
      <c r="L178" s="194">
        <v>0</v>
      </c>
      <c r="M178" s="194">
        <v>0</v>
      </c>
      <c r="N178" s="194">
        <v>3860000</v>
      </c>
      <c r="O178" s="194">
        <v>0</v>
      </c>
      <c r="P178" s="186">
        <f>SUM(J178:O178)</f>
        <v>3860000</v>
      </c>
    </row>
    <row r="179" spans="1:16" ht="26.25" thickBot="1">
      <c r="A179" s="235"/>
      <c r="B179" s="159" t="s">
        <v>557</v>
      </c>
      <c r="C179" s="194">
        <v>7360000</v>
      </c>
      <c r="D179" s="194">
        <v>300000</v>
      </c>
      <c r="E179" s="194">
        <v>7572500</v>
      </c>
      <c r="F179" s="194">
        <v>50780000</v>
      </c>
      <c r="G179" s="194">
        <v>2900000</v>
      </c>
      <c r="H179" s="194">
        <v>0</v>
      </c>
      <c r="I179" s="195">
        <f>SUM(C179:H179)</f>
        <v>68912500</v>
      </c>
      <c r="J179" s="194">
        <v>2532000</v>
      </c>
      <c r="K179" s="194">
        <v>0</v>
      </c>
      <c r="L179" s="194">
        <v>9108500</v>
      </c>
      <c r="M179" s="194">
        <v>11320000</v>
      </c>
      <c r="N179" s="194">
        <v>1250000</v>
      </c>
      <c r="O179" s="194">
        <v>0</v>
      </c>
      <c r="P179" s="186">
        <f>SUM(J179:O179)</f>
        <v>24210500</v>
      </c>
    </row>
    <row r="180" spans="1:16" ht="30" customHeight="1" thickBot="1">
      <c r="A180" s="235"/>
      <c r="B180" s="236" t="s">
        <v>567</v>
      </c>
      <c r="C180" s="194">
        <v>1250000</v>
      </c>
      <c r="D180" s="194">
        <v>200000</v>
      </c>
      <c r="E180" s="194">
        <v>2350000</v>
      </c>
      <c r="F180" s="194">
        <v>2789000</v>
      </c>
      <c r="G180" s="194">
        <v>808000</v>
      </c>
      <c r="H180" s="194">
        <v>0</v>
      </c>
      <c r="I180" s="195">
        <f>SUM(C180:H180)</f>
        <v>7397000</v>
      </c>
      <c r="J180" s="194">
        <v>290000</v>
      </c>
      <c r="K180" s="194">
        <v>0</v>
      </c>
      <c r="L180" s="194">
        <v>987000</v>
      </c>
      <c r="M180" s="194">
        <v>200000</v>
      </c>
      <c r="N180" s="194">
        <v>810000</v>
      </c>
      <c r="O180" s="194">
        <v>0</v>
      </c>
      <c r="P180" s="186">
        <f>SUM(J180:O180)</f>
        <v>2287000</v>
      </c>
    </row>
    <row r="181" spans="1:16" ht="26.25" thickBot="1">
      <c r="A181" s="190" t="s">
        <v>227</v>
      </c>
      <c r="B181" s="200" t="s">
        <v>228</v>
      </c>
      <c r="C181" s="192">
        <f>SUM(C182:C183)</f>
        <v>1715000</v>
      </c>
      <c r="D181" s="192">
        <f aca="true" t="shared" si="93" ref="D181:P181">SUM(D182:D183)</f>
        <v>1167500</v>
      </c>
      <c r="E181" s="192">
        <f t="shared" si="93"/>
        <v>0</v>
      </c>
      <c r="F181" s="192">
        <f t="shared" si="93"/>
        <v>13500000</v>
      </c>
      <c r="G181" s="192">
        <f t="shared" si="93"/>
        <v>360000</v>
      </c>
      <c r="H181" s="192">
        <f t="shared" si="93"/>
        <v>7500</v>
      </c>
      <c r="I181" s="192">
        <f t="shared" si="93"/>
        <v>16750000</v>
      </c>
      <c r="J181" s="192">
        <f t="shared" si="93"/>
        <v>409400</v>
      </c>
      <c r="K181" s="192">
        <f t="shared" si="93"/>
        <v>200000</v>
      </c>
      <c r="L181" s="192">
        <f t="shared" si="93"/>
        <v>0</v>
      </c>
      <c r="M181" s="192">
        <f t="shared" si="93"/>
        <v>1894900</v>
      </c>
      <c r="N181" s="192">
        <f t="shared" si="93"/>
        <v>85000</v>
      </c>
      <c r="O181" s="192">
        <f t="shared" si="93"/>
        <v>4700</v>
      </c>
      <c r="P181" s="186">
        <f t="shared" si="93"/>
        <v>2594000</v>
      </c>
    </row>
    <row r="182" spans="1:16" ht="26.25" thickBot="1">
      <c r="A182" s="235"/>
      <c r="B182" s="236" t="s">
        <v>559</v>
      </c>
      <c r="C182" s="194">
        <v>1640000</v>
      </c>
      <c r="D182" s="194">
        <v>1137500</v>
      </c>
      <c r="E182" s="194">
        <v>0</v>
      </c>
      <c r="F182" s="194">
        <v>12862500</v>
      </c>
      <c r="G182" s="194">
        <v>360000</v>
      </c>
      <c r="H182" s="194">
        <v>0</v>
      </c>
      <c r="I182" s="195">
        <f>SUM(C182:H182)</f>
        <v>16000000</v>
      </c>
      <c r="J182" s="194">
        <v>400000</v>
      </c>
      <c r="K182" s="194">
        <v>200000</v>
      </c>
      <c r="L182" s="194">
        <v>0</v>
      </c>
      <c r="M182" s="194">
        <v>1815000</v>
      </c>
      <c r="N182" s="194">
        <v>85000</v>
      </c>
      <c r="O182" s="194">
        <v>0</v>
      </c>
      <c r="P182" s="186">
        <f>SUM(J182:O182)</f>
        <v>2500000</v>
      </c>
    </row>
    <row r="183" spans="1:16" ht="26.25" thickBot="1">
      <c r="A183" s="235"/>
      <c r="B183" s="236" t="s">
        <v>560</v>
      </c>
      <c r="C183" s="194">
        <v>75000</v>
      </c>
      <c r="D183" s="194">
        <v>30000</v>
      </c>
      <c r="E183" s="194">
        <v>0</v>
      </c>
      <c r="F183" s="194">
        <v>637500</v>
      </c>
      <c r="G183" s="194">
        <v>0</v>
      </c>
      <c r="H183" s="194">
        <v>7500</v>
      </c>
      <c r="I183" s="195">
        <f>SUM(C183:H183)</f>
        <v>750000</v>
      </c>
      <c r="J183" s="194">
        <v>9400</v>
      </c>
      <c r="K183" s="194">
        <v>0</v>
      </c>
      <c r="L183" s="194">
        <v>0</v>
      </c>
      <c r="M183" s="194">
        <v>79900</v>
      </c>
      <c r="N183" s="194">
        <v>0</v>
      </c>
      <c r="O183" s="194">
        <v>4700</v>
      </c>
      <c r="P183" s="186">
        <f>SUM(J183:O183)</f>
        <v>94000</v>
      </c>
    </row>
    <row r="184" spans="1:16" ht="13.5" thickBot="1">
      <c r="A184" s="190" t="s">
        <v>226</v>
      </c>
      <c r="B184" s="200" t="s">
        <v>230</v>
      </c>
      <c r="C184" s="192">
        <f>SUM(C185)</f>
        <v>143000</v>
      </c>
      <c r="D184" s="192">
        <f aca="true" t="shared" si="94" ref="D184:P184">SUM(D185)</f>
        <v>0</v>
      </c>
      <c r="E184" s="192">
        <f t="shared" si="94"/>
        <v>299500</v>
      </c>
      <c r="F184" s="192">
        <f t="shared" si="94"/>
        <v>677500</v>
      </c>
      <c r="G184" s="192">
        <f t="shared" si="94"/>
        <v>0</v>
      </c>
      <c r="H184" s="192">
        <f t="shared" si="94"/>
        <v>0</v>
      </c>
      <c r="I184" s="192">
        <f t="shared" si="94"/>
        <v>1120000</v>
      </c>
      <c r="J184" s="192">
        <f t="shared" si="94"/>
        <v>48000</v>
      </c>
      <c r="K184" s="192">
        <f t="shared" si="94"/>
        <v>0</v>
      </c>
      <c r="L184" s="192">
        <f t="shared" si="94"/>
        <v>85000</v>
      </c>
      <c r="M184" s="192">
        <f t="shared" si="94"/>
        <v>37000</v>
      </c>
      <c r="N184" s="192">
        <f t="shared" si="94"/>
        <v>0</v>
      </c>
      <c r="O184" s="192">
        <f t="shared" si="94"/>
        <v>0</v>
      </c>
      <c r="P184" s="186">
        <f t="shared" si="94"/>
        <v>170000</v>
      </c>
    </row>
    <row r="185" spans="1:16" ht="26.25" thickBot="1">
      <c r="A185" s="235"/>
      <c r="B185" s="236" t="s">
        <v>562</v>
      </c>
      <c r="C185" s="194">
        <v>143000</v>
      </c>
      <c r="D185" s="194">
        <v>0</v>
      </c>
      <c r="E185" s="194">
        <v>299500</v>
      </c>
      <c r="F185" s="194">
        <v>677500</v>
      </c>
      <c r="G185" s="194">
        <v>0</v>
      </c>
      <c r="H185" s="194">
        <v>0</v>
      </c>
      <c r="I185" s="195">
        <f>SUM(C185:H185)</f>
        <v>1120000</v>
      </c>
      <c r="J185" s="194">
        <v>48000</v>
      </c>
      <c r="K185" s="194">
        <v>0</v>
      </c>
      <c r="L185" s="194">
        <v>85000</v>
      </c>
      <c r="M185" s="194">
        <v>37000</v>
      </c>
      <c r="N185" s="194">
        <v>0</v>
      </c>
      <c r="O185" s="194">
        <v>0</v>
      </c>
      <c r="P185" s="186">
        <f>SUM(J185:O185)</f>
        <v>170000</v>
      </c>
    </row>
    <row r="186" spans="1:16" ht="64.5" thickBot="1">
      <c r="A186" s="190" t="s">
        <v>229</v>
      </c>
      <c r="B186" s="200" t="s">
        <v>264</v>
      </c>
      <c r="C186" s="192">
        <f>SUM(C187)</f>
        <v>0</v>
      </c>
      <c r="D186" s="192">
        <f aca="true" t="shared" si="95" ref="D186:P186">SUM(D187)</f>
        <v>3501269.61</v>
      </c>
      <c r="E186" s="192">
        <f t="shared" si="95"/>
        <v>3501269.61</v>
      </c>
      <c r="F186" s="192">
        <f t="shared" si="95"/>
        <v>39681055.53</v>
      </c>
      <c r="G186" s="192">
        <f t="shared" si="95"/>
        <v>0</v>
      </c>
      <c r="H186" s="192">
        <f t="shared" si="95"/>
        <v>0</v>
      </c>
      <c r="I186" s="192">
        <f t="shared" si="95"/>
        <v>46683594.75</v>
      </c>
      <c r="J186" s="192">
        <f t="shared" si="95"/>
        <v>0</v>
      </c>
      <c r="K186" s="192">
        <f t="shared" si="95"/>
        <v>1486552.19</v>
      </c>
      <c r="L186" s="192">
        <f t="shared" si="95"/>
        <v>1486552.21</v>
      </c>
      <c r="M186" s="192">
        <f t="shared" si="95"/>
        <v>16847591.55</v>
      </c>
      <c r="N186" s="192">
        <f t="shared" si="95"/>
        <v>0</v>
      </c>
      <c r="O186" s="192">
        <f t="shared" si="95"/>
        <v>0</v>
      </c>
      <c r="P186" s="186">
        <f t="shared" si="95"/>
        <v>19820695.95</v>
      </c>
    </row>
    <row r="187" spans="1:16" s="153" customFormat="1" ht="39" thickBot="1">
      <c r="A187" s="243"/>
      <c r="B187" s="159" t="s">
        <v>565</v>
      </c>
      <c r="C187" s="244">
        <v>0</v>
      </c>
      <c r="D187" s="244">
        <v>3501269.61</v>
      </c>
      <c r="E187" s="244">
        <v>3501269.61</v>
      </c>
      <c r="F187" s="245">
        <v>39681055.53</v>
      </c>
      <c r="G187" s="244">
        <v>0</v>
      </c>
      <c r="H187" s="244">
        <v>0</v>
      </c>
      <c r="I187" s="195">
        <f>SUM(C187:H187)</f>
        <v>46683594.75</v>
      </c>
      <c r="J187" s="244"/>
      <c r="K187" s="244">
        <v>1486552.19</v>
      </c>
      <c r="L187" s="244">
        <v>1486552.21</v>
      </c>
      <c r="M187" s="244">
        <v>16847591.55</v>
      </c>
      <c r="N187" s="244"/>
      <c r="O187" s="244"/>
      <c r="P187" s="186">
        <f>SUM(J187:O187)</f>
        <v>19820695.95</v>
      </c>
    </row>
    <row r="188" spans="1:16" ht="34.5" customHeight="1" thickBot="1">
      <c r="A188" s="187" t="s">
        <v>650</v>
      </c>
      <c r="B188" s="188" t="s">
        <v>233</v>
      </c>
      <c r="C188" s="189">
        <f>SUM(C189+C192+C196)</f>
        <v>6002831</v>
      </c>
      <c r="D188" s="189">
        <f aca="true" t="shared" si="96" ref="D188:P188">SUM(D189+D192+D196)</f>
        <v>28149581</v>
      </c>
      <c r="E188" s="189">
        <f t="shared" si="96"/>
        <v>6000000</v>
      </c>
      <c r="F188" s="189">
        <f t="shared" si="96"/>
        <v>31632462</v>
      </c>
      <c r="G188" s="189">
        <f t="shared" si="96"/>
        <v>62400</v>
      </c>
      <c r="H188" s="189">
        <f t="shared" si="96"/>
        <v>178536</v>
      </c>
      <c r="I188" s="189">
        <f t="shared" si="96"/>
        <v>72025810</v>
      </c>
      <c r="J188" s="189">
        <f t="shared" si="96"/>
        <v>966985</v>
      </c>
      <c r="K188" s="189">
        <f t="shared" si="96"/>
        <v>3552835</v>
      </c>
      <c r="L188" s="189">
        <f t="shared" si="96"/>
        <v>900000</v>
      </c>
      <c r="M188" s="189">
        <f>SUM(M189+M192+M196)</f>
        <v>4035470</v>
      </c>
      <c r="N188" s="189">
        <f t="shared" si="96"/>
        <v>4500</v>
      </c>
      <c r="O188" s="189">
        <f t="shared" si="96"/>
        <v>28560</v>
      </c>
      <c r="P188" s="234">
        <f t="shared" si="96"/>
        <v>9488350</v>
      </c>
    </row>
    <row r="189" spans="1:16" ht="64.5" thickBot="1">
      <c r="A189" s="190" t="s">
        <v>234</v>
      </c>
      <c r="B189" s="191" t="s">
        <v>237</v>
      </c>
      <c r="C189" s="192">
        <f>SUM(C190:C191)</f>
        <v>39831</v>
      </c>
      <c r="D189" s="192">
        <f aca="true" t="shared" si="97" ref="D189:P189">SUM(D190:D191)</f>
        <v>27881</v>
      </c>
      <c r="E189" s="192">
        <f t="shared" si="97"/>
        <v>0</v>
      </c>
      <c r="F189" s="192">
        <f t="shared" si="97"/>
        <v>79662</v>
      </c>
      <c r="G189" s="192">
        <f t="shared" si="97"/>
        <v>0</v>
      </c>
      <c r="H189" s="192">
        <f t="shared" si="97"/>
        <v>131436</v>
      </c>
      <c r="I189" s="192">
        <f t="shared" si="97"/>
        <v>278810</v>
      </c>
      <c r="J189" s="192">
        <f t="shared" si="97"/>
        <v>6485</v>
      </c>
      <c r="K189" s="192">
        <f t="shared" si="97"/>
        <v>4585</v>
      </c>
      <c r="L189" s="192">
        <f t="shared" si="97"/>
        <v>0</v>
      </c>
      <c r="M189" s="192">
        <f t="shared" si="97"/>
        <v>12970</v>
      </c>
      <c r="N189" s="192">
        <f t="shared" si="97"/>
        <v>0</v>
      </c>
      <c r="O189" s="192">
        <f t="shared" si="97"/>
        <v>21810</v>
      </c>
      <c r="P189" s="186">
        <f t="shared" si="97"/>
        <v>45850</v>
      </c>
    </row>
    <row r="190" spans="1:16" ht="51.75" thickBot="1">
      <c r="A190" s="193"/>
      <c r="B190" s="246" t="s">
        <v>570</v>
      </c>
      <c r="C190" s="247">
        <v>23900</v>
      </c>
      <c r="D190" s="247">
        <v>11950</v>
      </c>
      <c r="E190" s="247">
        <v>0</v>
      </c>
      <c r="F190" s="247">
        <v>47800</v>
      </c>
      <c r="G190" s="247">
        <v>0</v>
      </c>
      <c r="H190" s="247">
        <v>35850</v>
      </c>
      <c r="I190" s="248">
        <f>SUM(C190:H190)</f>
        <v>119500</v>
      </c>
      <c r="J190" s="247">
        <v>3800</v>
      </c>
      <c r="K190" s="247">
        <v>1900</v>
      </c>
      <c r="L190" s="247">
        <v>0</v>
      </c>
      <c r="M190" s="247">
        <v>7600</v>
      </c>
      <c r="N190" s="247">
        <v>0</v>
      </c>
      <c r="O190" s="247">
        <v>5700</v>
      </c>
      <c r="P190" s="249">
        <f>SUM(J190:O190)</f>
        <v>19000</v>
      </c>
    </row>
    <row r="191" spans="1:16" ht="64.5" thickBot="1">
      <c r="A191" s="193"/>
      <c r="B191" s="250" t="s">
        <v>571</v>
      </c>
      <c r="C191" s="247">
        <v>15931</v>
      </c>
      <c r="D191" s="247">
        <v>15931</v>
      </c>
      <c r="E191" s="247">
        <v>0</v>
      </c>
      <c r="F191" s="247">
        <v>31862</v>
      </c>
      <c r="G191" s="247">
        <v>0</v>
      </c>
      <c r="H191" s="247">
        <v>95586</v>
      </c>
      <c r="I191" s="248">
        <f>SUM(C191:H191)</f>
        <v>159310</v>
      </c>
      <c r="J191" s="247">
        <v>2685</v>
      </c>
      <c r="K191" s="247">
        <v>2685</v>
      </c>
      <c r="L191" s="247">
        <v>0</v>
      </c>
      <c r="M191" s="247">
        <v>5370</v>
      </c>
      <c r="N191" s="247">
        <v>0</v>
      </c>
      <c r="O191" s="247">
        <v>16110</v>
      </c>
      <c r="P191" s="249">
        <f>SUM(J191:O191)</f>
        <v>26850</v>
      </c>
    </row>
    <row r="192" spans="1:16" ht="39" thickBot="1">
      <c r="A192" s="190" t="s">
        <v>235</v>
      </c>
      <c r="B192" s="200" t="s">
        <v>238</v>
      </c>
      <c r="C192" s="192">
        <f>SUM(C193:C195)</f>
        <v>1682000</v>
      </c>
      <c r="D192" s="192">
        <f aca="true" t="shared" si="98" ref="D192:P192">SUM(D193:D195)</f>
        <v>106000</v>
      </c>
      <c r="E192" s="192">
        <f t="shared" si="98"/>
        <v>0</v>
      </c>
      <c r="F192" s="192">
        <f t="shared" si="98"/>
        <v>1722000</v>
      </c>
      <c r="G192" s="192">
        <f t="shared" si="98"/>
        <v>0</v>
      </c>
      <c r="H192" s="192">
        <f t="shared" si="98"/>
        <v>0</v>
      </c>
      <c r="I192" s="192">
        <f t="shared" si="98"/>
        <v>3510000</v>
      </c>
      <c r="J192" s="192">
        <f t="shared" si="98"/>
        <v>338000</v>
      </c>
      <c r="K192" s="192">
        <f t="shared" si="98"/>
        <v>46000</v>
      </c>
      <c r="L192" s="192">
        <f t="shared" si="98"/>
        <v>0</v>
      </c>
      <c r="M192" s="192">
        <f t="shared" si="98"/>
        <v>386000</v>
      </c>
      <c r="N192" s="192">
        <f t="shared" si="98"/>
        <v>0</v>
      </c>
      <c r="O192" s="192">
        <f t="shared" si="98"/>
        <v>0</v>
      </c>
      <c r="P192" s="186">
        <f t="shared" si="98"/>
        <v>770000</v>
      </c>
    </row>
    <row r="193" spans="1:16" ht="26.25" thickBot="1">
      <c r="A193" s="193"/>
      <c r="B193" s="250" t="s">
        <v>574</v>
      </c>
      <c r="C193" s="247">
        <v>0</v>
      </c>
      <c r="D193" s="247">
        <v>48000</v>
      </c>
      <c r="E193" s="247">
        <v>0</v>
      </c>
      <c r="F193" s="247">
        <v>272000</v>
      </c>
      <c r="G193" s="247">
        <v>0</v>
      </c>
      <c r="H193" s="247">
        <v>0</v>
      </c>
      <c r="I193" s="248">
        <f>SUM(C193:H193)</f>
        <v>320000</v>
      </c>
      <c r="J193" s="247">
        <v>0</v>
      </c>
      <c r="K193" s="247">
        <v>24000</v>
      </c>
      <c r="L193" s="247">
        <v>0</v>
      </c>
      <c r="M193" s="247">
        <v>136000</v>
      </c>
      <c r="N193" s="247">
        <v>0</v>
      </c>
      <c r="O193" s="247">
        <v>0</v>
      </c>
      <c r="P193" s="249">
        <f>SUM(J193:O193)</f>
        <v>160000</v>
      </c>
    </row>
    <row r="194" spans="1:16" ht="26.25" thickBot="1">
      <c r="A194" s="193"/>
      <c r="B194" s="250" t="s">
        <v>575</v>
      </c>
      <c r="C194" s="247">
        <v>232000</v>
      </c>
      <c r="D194" s="247">
        <v>58000</v>
      </c>
      <c r="E194" s="247">
        <v>0</v>
      </c>
      <c r="F194" s="247">
        <v>0</v>
      </c>
      <c r="G194" s="247">
        <v>0</v>
      </c>
      <c r="H194" s="247">
        <v>0</v>
      </c>
      <c r="I194" s="248">
        <f>SUM(C194:H194)</f>
        <v>290000</v>
      </c>
      <c r="J194" s="247">
        <v>88000</v>
      </c>
      <c r="K194" s="247">
        <v>22000</v>
      </c>
      <c r="L194" s="247">
        <v>0</v>
      </c>
      <c r="M194" s="247">
        <v>0</v>
      </c>
      <c r="N194" s="247">
        <v>0</v>
      </c>
      <c r="O194" s="247">
        <v>0</v>
      </c>
      <c r="P194" s="249">
        <f>SUM(J194:O194)</f>
        <v>110000</v>
      </c>
    </row>
    <row r="195" spans="1:16" ht="13.5" thickBot="1">
      <c r="A195" s="193"/>
      <c r="B195" s="250" t="s">
        <v>576</v>
      </c>
      <c r="C195" s="247">
        <v>1450000</v>
      </c>
      <c r="D195" s="247">
        <v>0</v>
      </c>
      <c r="E195" s="247">
        <v>0</v>
      </c>
      <c r="F195" s="247">
        <v>1450000</v>
      </c>
      <c r="G195" s="247">
        <v>0</v>
      </c>
      <c r="H195" s="247">
        <v>0</v>
      </c>
      <c r="I195" s="248">
        <f>SUM(C195:H195)</f>
        <v>2900000</v>
      </c>
      <c r="J195" s="247">
        <v>250000</v>
      </c>
      <c r="K195" s="247">
        <v>0</v>
      </c>
      <c r="L195" s="247">
        <v>0</v>
      </c>
      <c r="M195" s="247">
        <v>250000</v>
      </c>
      <c r="N195" s="247">
        <v>0</v>
      </c>
      <c r="O195" s="247">
        <v>0</v>
      </c>
      <c r="P195" s="249">
        <f>SUM(J195:O195)</f>
        <v>500000</v>
      </c>
    </row>
    <row r="196" spans="1:16" ht="39" thickBot="1">
      <c r="A196" s="190" t="s">
        <v>236</v>
      </c>
      <c r="B196" s="200" t="s">
        <v>239</v>
      </c>
      <c r="C196" s="192">
        <f>SUM(C197:C200)</f>
        <v>4281000</v>
      </c>
      <c r="D196" s="192">
        <f aca="true" t="shared" si="99" ref="D196:P196">SUM(D197:D200)</f>
        <v>28015700</v>
      </c>
      <c r="E196" s="192">
        <f t="shared" si="99"/>
        <v>6000000</v>
      </c>
      <c r="F196" s="192">
        <f t="shared" si="99"/>
        <v>29830800</v>
      </c>
      <c r="G196" s="192">
        <f t="shared" si="99"/>
        <v>62400</v>
      </c>
      <c r="H196" s="192">
        <f t="shared" si="99"/>
        <v>47100</v>
      </c>
      <c r="I196" s="192">
        <f>SUM(I197:I200)</f>
        <v>68237000</v>
      </c>
      <c r="J196" s="192">
        <f t="shared" si="99"/>
        <v>622500</v>
      </c>
      <c r="K196" s="192">
        <f t="shared" si="99"/>
        <v>3502250</v>
      </c>
      <c r="L196" s="192">
        <f t="shared" si="99"/>
        <v>900000</v>
      </c>
      <c r="M196" s="192">
        <f t="shared" si="99"/>
        <v>3636500</v>
      </c>
      <c r="N196" s="192">
        <f t="shared" si="99"/>
        <v>4500</v>
      </c>
      <c r="O196" s="192">
        <f t="shared" si="99"/>
        <v>6750</v>
      </c>
      <c r="P196" s="186">
        <f t="shared" si="99"/>
        <v>8672500</v>
      </c>
    </row>
    <row r="197" spans="1:16" ht="26.25" thickBot="1">
      <c r="A197" s="193"/>
      <c r="B197" s="250" t="s">
        <v>610</v>
      </c>
      <c r="C197" s="247">
        <v>31400</v>
      </c>
      <c r="D197" s="247">
        <v>15700</v>
      </c>
      <c r="E197" s="247">
        <v>0</v>
      </c>
      <c r="F197" s="247">
        <v>62800</v>
      </c>
      <c r="G197" s="247">
        <v>0</v>
      </c>
      <c r="H197" s="247">
        <v>47100</v>
      </c>
      <c r="I197" s="248">
        <f>SUM(C197:H197)</f>
        <v>157000</v>
      </c>
      <c r="J197" s="247">
        <v>4500</v>
      </c>
      <c r="K197" s="247">
        <v>2250</v>
      </c>
      <c r="L197" s="247">
        <v>0</v>
      </c>
      <c r="M197" s="247">
        <v>9000</v>
      </c>
      <c r="N197" s="247">
        <v>0</v>
      </c>
      <c r="O197" s="247">
        <v>6750</v>
      </c>
      <c r="P197" s="249">
        <f>SUM(J197:O197)</f>
        <v>22500</v>
      </c>
    </row>
    <row r="198" spans="1:16" ht="13.5" thickBot="1">
      <c r="A198" s="193"/>
      <c r="B198" s="250" t="s">
        <v>611</v>
      </c>
      <c r="C198" s="247">
        <v>0</v>
      </c>
      <c r="D198" s="247">
        <v>28000000</v>
      </c>
      <c r="E198" s="247">
        <v>0</v>
      </c>
      <c r="F198" s="247">
        <v>28000000</v>
      </c>
      <c r="G198" s="247">
        <v>0</v>
      </c>
      <c r="H198" s="247">
        <v>0</v>
      </c>
      <c r="I198" s="248">
        <f>SUM(C198:H198)</f>
        <v>56000000</v>
      </c>
      <c r="J198" s="247">
        <v>0</v>
      </c>
      <c r="K198" s="247">
        <v>3500000</v>
      </c>
      <c r="L198" s="247">
        <v>0</v>
      </c>
      <c r="M198" s="247">
        <v>3500000</v>
      </c>
      <c r="N198" s="247">
        <v>0</v>
      </c>
      <c r="O198" s="247">
        <v>0</v>
      </c>
      <c r="P198" s="249">
        <f>SUM(J198:O198)</f>
        <v>7000000</v>
      </c>
    </row>
    <row r="199" spans="1:16" ht="26.25" thickBot="1">
      <c r="A199" s="193"/>
      <c r="B199" s="251" t="s">
        <v>580</v>
      </c>
      <c r="C199" s="247">
        <v>4000000</v>
      </c>
      <c r="D199" s="247">
        <v>0</v>
      </c>
      <c r="E199" s="247">
        <v>6000000</v>
      </c>
      <c r="F199" s="247">
        <v>0</v>
      </c>
      <c r="G199" s="247">
        <v>0</v>
      </c>
      <c r="H199" s="247">
        <v>0</v>
      </c>
      <c r="I199" s="248">
        <f>SUM(C199:H199)</f>
        <v>10000000</v>
      </c>
      <c r="J199" s="247">
        <v>600000</v>
      </c>
      <c r="K199" s="247">
        <v>0</v>
      </c>
      <c r="L199" s="247">
        <v>900000</v>
      </c>
      <c r="M199" s="247">
        <v>0</v>
      </c>
      <c r="N199" s="247">
        <v>0</v>
      </c>
      <c r="O199" s="247">
        <v>0</v>
      </c>
      <c r="P199" s="249">
        <f>SUM(J199:O199)</f>
        <v>1500000</v>
      </c>
    </row>
    <row r="200" spans="1:16" ht="26.25" thickBot="1">
      <c r="A200" s="193"/>
      <c r="B200" s="251" t="s">
        <v>612</v>
      </c>
      <c r="C200" s="247">
        <v>249600</v>
      </c>
      <c r="D200" s="247">
        <v>0</v>
      </c>
      <c r="E200" s="247">
        <v>0</v>
      </c>
      <c r="F200" s="247">
        <v>1768000</v>
      </c>
      <c r="G200" s="247">
        <v>62400</v>
      </c>
      <c r="H200" s="247">
        <v>0</v>
      </c>
      <c r="I200" s="248">
        <f>SUM(C200:H200)</f>
        <v>2080000</v>
      </c>
      <c r="J200" s="247">
        <v>18000</v>
      </c>
      <c r="K200" s="247">
        <v>0</v>
      </c>
      <c r="L200" s="247">
        <v>0</v>
      </c>
      <c r="M200" s="247">
        <v>127500</v>
      </c>
      <c r="N200" s="247">
        <v>4500</v>
      </c>
      <c r="O200" s="247">
        <v>0</v>
      </c>
      <c r="P200" s="249">
        <f>SUM(J200:O200)</f>
        <v>150000</v>
      </c>
    </row>
    <row r="201" spans="1:16" ht="39" thickBot="1">
      <c r="A201" s="187" t="s">
        <v>651</v>
      </c>
      <c r="B201" s="188" t="s">
        <v>243</v>
      </c>
      <c r="C201" s="189">
        <f aca="true" t="shared" si="100" ref="C201:I201">SUM(C202+C210)</f>
        <v>27367122</v>
      </c>
      <c r="D201" s="189">
        <f t="shared" si="100"/>
        <v>2738426</v>
      </c>
      <c r="E201" s="189">
        <f t="shared" si="100"/>
        <v>1775484</v>
      </c>
      <c r="F201" s="189">
        <f t="shared" si="100"/>
        <v>15576566</v>
      </c>
      <c r="G201" s="189">
        <f t="shared" si="100"/>
        <v>38000</v>
      </c>
      <c r="H201" s="189">
        <f t="shared" si="100"/>
        <v>0</v>
      </c>
      <c r="I201" s="189">
        <f t="shared" si="100"/>
        <v>47495598</v>
      </c>
      <c r="J201" s="189">
        <f aca="true" t="shared" si="101" ref="J201:O201">SUM(J202+J211)</f>
        <v>2609230.5</v>
      </c>
      <c r="K201" s="189">
        <f t="shared" si="101"/>
        <v>475500</v>
      </c>
      <c r="L201" s="189">
        <f t="shared" si="101"/>
        <v>136695</v>
      </c>
      <c r="M201" s="189">
        <f t="shared" si="101"/>
        <v>8312191.5</v>
      </c>
      <c r="N201" s="189">
        <f t="shared" si="101"/>
        <v>0</v>
      </c>
      <c r="O201" s="189">
        <f t="shared" si="101"/>
        <v>0</v>
      </c>
      <c r="P201" s="234">
        <f>SUM(P202+P210)</f>
        <v>12120302</v>
      </c>
    </row>
    <row r="202" spans="1:16" ht="39" thickBot="1">
      <c r="A202" s="190" t="s">
        <v>241</v>
      </c>
      <c r="B202" s="191" t="s">
        <v>245</v>
      </c>
      <c r="C202" s="192">
        <f aca="true" t="shared" si="102" ref="C202:P202">SUM(C203:C209)</f>
        <v>27310122</v>
      </c>
      <c r="D202" s="192">
        <f t="shared" si="102"/>
        <v>1619278</v>
      </c>
      <c r="E202" s="192">
        <f t="shared" si="102"/>
        <v>584262</v>
      </c>
      <c r="F202" s="192">
        <f t="shared" si="102"/>
        <v>15576566</v>
      </c>
      <c r="G202" s="192">
        <f t="shared" si="102"/>
        <v>0</v>
      </c>
      <c r="H202" s="192">
        <f t="shared" si="102"/>
        <v>0</v>
      </c>
      <c r="I202" s="192">
        <f t="shared" si="102"/>
        <v>45090228</v>
      </c>
      <c r="J202" s="192">
        <f t="shared" si="102"/>
        <v>2609230.5</v>
      </c>
      <c r="K202" s="192">
        <f t="shared" si="102"/>
        <v>475500</v>
      </c>
      <c r="L202" s="192">
        <f t="shared" si="102"/>
        <v>136695</v>
      </c>
      <c r="M202" s="192">
        <f t="shared" si="102"/>
        <v>8312191.5</v>
      </c>
      <c r="N202" s="192">
        <f t="shared" si="102"/>
        <v>0</v>
      </c>
      <c r="O202" s="192">
        <f t="shared" si="102"/>
        <v>0</v>
      </c>
      <c r="P202" s="186">
        <f t="shared" si="102"/>
        <v>11533617</v>
      </c>
    </row>
    <row r="203" spans="1:16" ht="13.5" thickBot="1">
      <c r="A203" s="193"/>
      <c r="B203" s="250" t="s">
        <v>613</v>
      </c>
      <c r="C203" s="247">
        <v>0</v>
      </c>
      <c r="D203" s="247">
        <v>40000</v>
      </c>
      <c r="E203" s="247">
        <v>0</v>
      </c>
      <c r="F203" s="247">
        <v>0</v>
      </c>
      <c r="G203" s="247">
        <v>0</v>
      </c>
      <c r="H203" s="247">
        <v>0</v>
      </c>
      <c r="I203" s="248">
        <f aca="true" t="shared" si="103" ref="I203:I209">SUM(C203:H203)</f>
        <v>40000</v>
      </c>
      <c r="J203" s="247">
        <v>0</v>
      </c>
      <c r="K203" s="247">
        <v>40000</v>
      </c>
      <c r="L203" s="247">
        <v>0</v>
      </c>
      <c r="M203" s="247">
        <v>0</v>
      </c>
      <c r="N203" s="247">
        <v>0</v>
      </c>
      <c r="O203" s="247">
        <v>0</v>
      </c>
      <c r="P203" s="249">
        <f>J203+K203+L203+N203+O203</f>
        <v>40000</v>
      </c>
    </row>
    <row r="204" spans="1:16" ht="13.5" thickBot="1">
      <c r="A204" s="193"/>
      <c r="B204" s="250" t="s">
        <v>586</v>
      </c>
      <c r="C204" s="247">
        <v>0</v>
      </c>
      <c r="D204" s="247">
        <v>15000</v>
      </c>
      <c r="E204" s="247">
        <v>0</v>
      </c>
      <c r="F204" s="247">
        <v>0</v>
      </c>
      <c r="G204" s="247">
        <v>0</v>
      </c>
      <c r="H204" s="247">
        <v>0</v>
      </c>
      <c r="I204" s="248">
        <f t="shared" si="103"/>
        <v>15000</v>
      </c>
      <c r="J204" s="247">
        <v>0</v>
      </c>
      <c r="K204" s="247">
        <v>0</v>
      </c>
      <c r="L204" s="247">
        <v>0</v>
      </c>
      <c r="M204" s="247">
        <v>0</v>
      </c>
      <c r="N204" s="247">
        <v>0</v>
      </c>
      <c r="O204" s="247">
        <v>0</v>
      </c>
      <c r="P204" s="249">
        <v>0</v>
      </c>
    </row>
    <row r="205" spans="1:16" ht="13.5" thickBot="1">
      <c r="A205" s="193"/>
      <c r="B205" s="250" t="s">
        <v>587</v>
      </c>
      <c r="C205" s="247"/>
      <c r="D205" s="247">
        <v>30000</v>
      </c>
      <c r="E205" s="247"/>
      <c r="F205" s="247">
        <v>170000</v>
      </c>
      <c r="G205" s="247"/>
      <c r="H205" s="247"/>
      <c r="I205" s="248">
        <f t="shared" si="103"/>
        <v>200000</v>
      </c>
      <c r="J205" s="247">
        <v>0</v>
      </c>
      <c r="K205" s="247">
        <v>0</v>
      </c>
      <c r="L205" s="247">
        <v>0</v>
      </c>
      <c r="M205" s="247">
        <v>0</v>
      </c>
      <c r="N205" s="247">
        <v>0</v>
      </c>
      <c r="O205" s="247">
        <v>0</v>
      </c>
      <c r="P205" s="249">
        <v>0</v>
      </c>
    </row>
    <row r="206" spans="1:16" ht="13.5" thickBot="1">
      <c r="A206" s="193"/>
      <c r="B206" s="251" t="s">
        <v>588</v>
      </c>
      <c r="C206" s="247">
        <v>0</v>
      </c>
      <c r="D206" s="247">
        <v>1363278</v>
      </c>
      <c r="E206" s="247">
        <v>584262</v>
      </c>
      <c r="F206" s="247">
        <v>0</v>
      </c>
      <c r="G206" s="247">
        <v>0</v>
      </c>
      <c r="H206" s="247">
        <v>0</v>
      </c>
      <c r="I206" s="248">
        <f t="shared" si="103"/>
        <v>1947540</v>
      </c>
      <c r="J206" s="247">
        <v>0</v>
      </c>
      <c r="K206" s="247">
        <v>350000</v>
      </c>
      <c r="L206" s="247">
        <v>136695</v>
      </c>
      <c r="M206" s="247">
        <v>0</v>
      </c>
      <c r="N206" s="247">
        <v>0</v>
      </c>
      <c r="O206" s="247">
        <v>0</v>
      </c>
      <c r="P206" s="249">
        <f>J206+K206+L206+N206+O206</f>
        <v>486695</v>
      </c>
    </row>
    <row r="207" spans="1:16" ht="13.5" thickBot="1">
      <c r="A207" s="193"/>
      <c r="B207" s="251" t="s">
        <v>766</v>
      </c>
      <c r="C207" s="247">
        <v>2000322</v>
      </c>
      <c r="D207" s="247">
        <v>0</v>
      </c>
      <c r="E207" s="247">
        <v>0</v>
      </c>
      <c r="F207" s="247">
        <v>6000966</v>
      </c>
      <c r="G207" s="247">
        <v>0</v>
      </c>
      <c r="H207" s="247">
        <v>0</v>
      </c>
      <c r="I207" s="248">
        <f t="shared" si="103"/>
        <v>8001288</v>
      </c>
      <c r="J207" s="247">
        <v>500080.5</v>
      </c>
      <c r="K207" s="247">
        <v>0</v>
      </c>
      <c r="L207" s="247">
        <v>0</v>
      </c>
      <c r="M207" s="247">
        <v>1500241.5</v>
      </c>
      <c r="N207" s="247">
        <v>0</v>
      </c>
      <c r="O207" s="247">
        <v>0</v>
      </c>
      <c r="P207" s="249">
        <f>J207+M207</f>
        <v>2000322</v>
      </c>
    </row>
    <row r="208" spans="1:16" ht="39" thickBot="1">
      <c r="A208" s="193"/>
      <c r="B208" s="250" t="s">
        <v>767</v>
      </c>
      <c r="C208" s="247">
        <v>25309800</v>
      </c>
      <c r="D208" s="247">
        <v>0</v>
      </c>
      <c r="E208" s="247">
        <v>0</v>
      </c>
      <c r="F208" s="247">
        <v>8436600</v>
      </c>
      <c r="G208" s="247">
        <v>0</v>
      </c>
      <c r="H208" s="247">
        <v>0</v>
      </c>
      <c r="I208" s="248">
        <f t="shared" si="103"/>
        <v>33746400</v>
      </c>
      <c r="J208" s="247">
        <v>2109150</v>
      </c>
      <c r="K208" s="247">
        <v>0</v>
      </c>
      <c r="L208" s="247">
        <v>0</v>
      </c>
      <c r="M208" s="247">
        <v>6327450</v>
      </c>
      <c r="N208" s="247">
        <v>0</v>
      </c>
      <c r="O208" s="247">
        <v>0</v>
      </c>
      <c r="P208" s="249">
        <f>J208+M208</f>
        <v>8436600</v>
      </c>
    </row>
    <row r="209" spans="1:16" ht="13.5" thickBot="1">
      <c r="A209" s="193"/>
      <c r="B209" s="250" t="s">
        <v>614</v>
      </c>
      <c r="C209" s="247">
        <v>0</v>
      </c>
      <c r="D209" s="247">
        <v>171000</v>
      </c>
      <c r="E209" s="247">
        <v>0</v>
      </c>
      <c r="F209" s="247">
        <v>969000</v>
      </c>
      <c r="G209" s="247">
        <v>0</v>
      </c>
      <c r="H209" s="247">
        <v>0</v>
      </c>
      <c r="I209" s="248">
        <f t="shared" si="103"/>
        <v>1140000</v>
      </c>
      <c r="J209" s="247">
        <v>0</v>
      </c>
      <c r="K209" s="247">
        <v>85500</v>
      </c>
      <c r="L209" s="247">
        <v>0</v>
      </c>
      <c r="M209" s="247">
        <v>484500</v>
      </c>
      <c r="N209" s="247">
        <v>0</v>
      </c>
      <c r="O209" s="247">
        <v>0</v>
      </c>
      <c r="P209" s="249">
        <f>SUM(J209:O209)</f>
        <v>570000</v>
      </c>
    </row>
    <row r="210" spans="1:16" ht="13.5" thickBot="1">
      <c r="A210" s="190" t="s">
        <v>242</v>
      </c>
      <c r="B210" s="200" t="s">
        <v>244</v>
      </c>
      <c r="C210" s="192">
        <f>SUM(C211:C214)</f>
        <v>57000</v>
      </c>
      <c r="D210" s="192">
        <f aca="true" t="shared" si="104" ref="D210:P210">SUM(D211:D214)</f>
        <v>1119148</v>
      </c>
      <c r="E210" s="192">
        <f t="shared" si="104"/>
        <v>1191222</v>
      </c>
      <c r="F210" s="192">
        <f t="shared" si="104"/>
        <v>0</v>
      </c>
      <c r="G210" s="192">
        <f t="shared" si="104"/>
        <v>38000</v>
      </c>
      <c r="H210" s="192">
        <f t="shared" si="104"/>
        <v>0</v>
      </c>
      <c r="I210" s="192">
        <f>SUM(I211:I214)</f>
        <v>2405370</v>
      </c>
      <c r="J210" s="192">
        <f t="shared" si="104"/>
        <v>15000</v>
      </c>
      <c r="K210" s="192">
        <f t="shared" si="104"/>
        <v>275000</v>
      </c>
      <c r="L210" s="192">
        <f t="shared" si="104"/>
        <v>286685</v>
      </c>
      <c r="M210" s="192">
        <f t="shared" si="104"/>
        <v>0</v>
      </c>
      <c r="N210" s="192">
        <f t="shared" si="104"/>
        <v>10000</v>
      </c>
      <c r="O210" s="192">
        <f t="shared" si="104"/>
        <v>0</v>
      </c>
      <c r="P210" s="186">
        <f t="shared" si="104"/>
        <v>586685</v>
      </c>
    </row>
    <row r="211" spans="1:16" ht="13.5" thickBot="1">
      <c r="A211" s="193"/>
      <c r="B211" s="252" t="s">
        <v>615</v>
      </c>
      <c r="C211" s="247">
        <v>0</v>
      </c>
      <c r="D211" s="247">
        <v>20000</v>
      </c>
      <c r="E211" s="247">
        <v>0</v>
      </c>
      <c r="F211" s="247">
        <v>0</v>
      </c>
      <c r="G211" s="247">
        <v>0</v>
      </c>
      <c r="H211" s="247">
        <v>0</v>
      </c>
      <c r="I211" s="248">
        <f>SUM(C211:H211)</f>
        <v>20000</v>
      </c>
      <c r="J211" s="247">
        <v>0</v>
      </c>
      <c r="K211" s="247">
        <v>0</v>
      </c>
      <c r="L211" s="247">
        <v>0</v>
      </c>
      <c r="M211" s="247">
        <v>0</v>
      </c>
      <c r="N211" s="247">
        <v>0</v>
      </c>
      <c r="O211" s="247">
        <v>0</v>
      </c>
      <c r="P211" s="249">
        <v>0</v>
      </c>
    </row>
    <row r="212" spans="1:16" ht="26.25" thickBot="1">
      <c r="A212" s="193"/>
      <c r="B212" s="250" t="s">
        <v>593</v>
      </c>
      <c r="C212" s="247">
        <v>0</v>
      </c>
      <c r="D212" s="247">
        <v>794148</v>
      </c>
      <c r="E212" s="247">
        <v>1191222</v>
      </c>
      <c r="F212" s="247">
        <v>0</v>
      </c>
      <c r="G212" s="247">
        <v>0</v>
      </c>
      <c r="H212" s="247">
        <v>0</v>
      </c>
      <c r="I212" s="248">
        <f>SUM(C212:H212)</f>
        <v>1985370</v>
      </c>
      <c r="J212" s="247">
        <v>0</v>
      </c>
      <c r="K212" s="247">
        <v>200000</v>
      </c>
      <c r="L212" s="247">
        <v>286685</v>
      </c>
      <c r="M212" s="247">
        <v>0</v>
      </c>
      <c r="N212" s="247">
        <v>0</v>
      </c>
      <c r="O212" s="247">
        <v>0</v>
      </c>
      <c r="P212" s="249">
        <f>J212+K212+L212+M212+N212+O212</f>
        <v>486685</v>
      </c>
    </row>
    <row r="213" spans="1:16" ht="26.25" thickBot="1">
      <c r="A213" s="253"/>
      <c r="B213" s="250" t="s">
        <v>594</v>
      </c>
      <c r="C213" s="247">
        <v>57000</v>
      </c>
      <c r="D213" s="247">
        <v>105000</v>
      </c>
      <c r="E213" s="247">
        <v>0</v>
      </c>
      <c r="F213" s="247">
        <v>0</v>
      </c>
      <c r="G213" s="247">
        <v>38000</v>
      </c>
      <c r="H213" s="247">
        <v>0</v>
      </c>
      <c r="I213" s="248">
        <f>SUM(C213:H213)</f>
        <v>200000</v>
      </c>
      <c r="J213" s="247">
        <v>15000</v>
      </c>
      <c r="K213" s="247">
        <v>25000</v>
      </c>
      <c r="L213" s="247">
        <v>0</v>
      </c>
      <c r="M213" s="247">
        <v>0</v>
      </c>
      <c r="N213" s="247">
        <v>10000</v>
      </c>
      <c r="O213" s="247">
        <v>0</v>
      </c>
      <c r="P213" s="249">
        <f>J213+K213+L213+M213+N213+O213</f>
        <v>50000</v>
      </c>
    </row>
    <row r="214" spans="1:16" ht="26.25" thickBot="1">
      <c r="A214" s="254"/>
      <c r="B214" s="255" t="s">
        <v>616</v>
      </c>
      <c r="C214" s="256">
        <v>0</v>
      </c>
      <c r="D214" s="256">
        <v>200000</v>
      </c>
      <c r="E214" s="256">
        <v>0</v>
      </c>
      <c r="F214" s="256">
        <v>0</v>
      </c>
      <c r="G214" s="256">
        <v>0</v>
      </c>
      <c r="H214" s="256">
        <v>0</v>
      </c>
      <c r="I214" s="257">
        <v>200000</v>
      </c>
      <c r="J214" s="256">
        <v>0</v>
      </c>
      <c r="K214" s="256">
        <v>50000</v>
      </c>
      <c r="L214" s="256">
        <v>0</v>
      </c>
      <c r="M214" s="256">
        <v>0</v>
      </c>
      <c r="N214" s="256">
        <v>0</v>
      </c>
      <c r="O214" s="256">
        <v>0</v>
      </c>
      <c r="P214" s="258">
        <f>J214+K214+L214+M214+N214+O214</f>
        <v>50000</v>
      </c>
    </row>
    <row r="215" spans="1:16" ht="8.25" customHeight="1" thickBot="1">
      <c r="A215" s="259"/>
      <c r="B215" s="260"/>
      <c r="C215" s="261"/>
      <c r="D215" s="261"/>
      <c r="E215" s="261"/>
      <c r="F215" s="261"/>
      <c r="G215" s="261"/>
      <c r="H215" s="261"/>
      <c r="I215" s="261"/>
      <c r="J215" s="261"/>
      <c r="K215" s="261"/>
      <c r="L215" s="261"/>
      <c r="M215" s="261"/>
      <c r="N215" s="261"/>
      <c r="O215" s="261"/>
      <c r="P215" s="262"/>
    </row>
    <row r="216" spans="1:16" ht="12.75">
      <c r="A216" s="263"/>
      <c r="B216" s="264" t="s">
        <v>608</v>
      </c>
      <c r="C216" s="265">
        <f aca="true" t="shared" si="105" ref="C216:H216">SUM(C4,C86,C156)</f>
        <v>218236658.38050002</v>
      </c>
      <c r="D216" s="265">
        <f t="shared" si="105"/>
        <v>160247115.6428</v>
      </c>
      <c r="E216" s="265">
        <f t="shared" si="105"/>
        <v>194281269.1102</v>
      </c>
      <c r="F216" s="265">
        <f t="shared" si="105"/>
        <v>721222000.5964999</v>
      </c>
      <c r="G216" s="265">
        <f t="shared" si="105"/>
        <v>29623265</v>
      </c>
      <c r="H216" s="265">
        <f t="shared" si="105"/>
        <v>14347023.4</v>
      </c>
      <c r="I216" s="265">
        <f aca="true" t="shared" si="106" ref="I216:P216">SUM(I4+I86+I156)</f>
        <v>1337957332.13</v>
      </c>
      <c r="J216" s="265">
        <f t="shared" si="106"/>
        <v>61957349.266100004</v>
      </c>
      <c r="K216" s="265">
        <f t="shared" si="106"/>
        <v>40857219.1505</v>
      </c>
      <c r="L216" s="265">
        <f t="shared" si="106"/>
        <v>89656914.54339999</v>
      </c>
      <c r="M216" s="265">
        <f t="shared" si="106"/>
        <v>265196786.25000003</v>
      </c>
      <c r="N216" s="265">
        <f t="shared" si="106"/>
        <v>21051212.66</v>
      </c>
      <c r="O216" s="265">
        <f t="shared" si="106"/>
        <v>11085216.420000002</v>
      </c>
      <c r="P216" s="265">
        <f t="shared" si="106"/>
        <v>509825396.34000003</v>
      </c>
    </row>
    <row r="217" spans="1:16" ht="12.75">
      <c r="A217" s="266"/>
      <c r="B217" s="266" t="s">
        <v>617</v>
      </c>
      <c r="C217" s="267">
        <f>C216/I216</f>
        <v>0.1631118221334247</v>
      </c>
      <c r="D217" s="267">
        <f>D216/I216</f>
        <v>0.11976997456838923</v>
      </c>
      <c r="E217" s="267">
        <f>E216/I216</f>
        <v>0.1452073727948471</v>
      </c>
      <c r="F217" s="267">
        <f>F216/I216</f>
        <v>0.5390470856408623</v>
      </c>
      <c r="G217" s="267">
        <f>G216/I216</f>
        <v>0.022140664943956306</v>
      </c>
      <c r="H217" s="267">
        <f>H216/I216</f>
        <v>0.01072307991852015</v>
      </c>
      <c r="I217" s="267">
        <f>SUM(C217:H217)</f>
        <v>0.9999999999999998</v>
      </c>
      <c r="J217" s="268"/>
      <c r="K217" s="268"/>
      <c r="L217" s="268"/>
      <c r="M217" s="268"/>
      <c r="N217" s="268"/>
      <c r="O217" s="268"/>
      <c r="P217" s="269"/>
    </row>
    <row r="218" spans="1:16" ht="12.75">
      <c r="A218" s="909" t="s">
        <v>21</v>
      </c>
      <c r="B218" s="909"/>
      <c r="C218" s="270"/>
      <c r="D218" s="270"/>
      <c r="E218" s="270"/>
      <c r="F218" s="270"/>
      <c r="G218" s="270"/>
      <c r="H218" s="270"/>
      <c r="I218" s="271"/>
      <c r="J218" s="272"/>
      <c r="K218" s="272"/>
      <c r="L218" s="272"/>
      <c r="M218" s="272"/>
      <c r="N218" s="272"/>
      <c r="O218" s="272"/>
      <c r="P218" s="273"/>
    </row>
    <row r="219" spans="1:4" ht="12.75">
      <c r="A219" s="180" t="s">
        <v>108</v>
      </c>
      <c r="B219" s="201"/>
      <c r="C219" s="201"/>
      <c r="D219" s="201"/>
    </row>
    <row r="220" spans="1:16" ht="12.75">
      <c r="A220" s="180" t="s">
        <v>113</v>
      </c>
      <c r="B220" s="201"/>
      <c r="C220" s="201"/>
      <c r="D220" s="201"/>
      <c r="E220" s="201"/>
      <c r="F220" s="201"/>
      <c r="G220" s="201"/>
      <c r="H220" s="201"/>
      <c r="I220" s="274"/>
      <c r="J220" s="201"/>
      <c r="K220" s="201"/>
      <c r="L220" s="201"/>
      <c r="M220" s="201"/>
      <c r="N220" s="201"/>
      <c r="O220" s="201"/>
      <c r="P220" s="201"/>
    </row>
    <row r="221" spans="1:16" ht="12.75">
      <c r="A221" s="180" t="s">
        <v>103</v>
      </c>
      <c r="B221" s="201"/>
      <c r="C221" s="201"/>
      <c r="D221" s="201"/>
      <c r="E221" s="201"/>
      <c r="F221" s="201"/>
      <c r="G221" s="201"/>
      <c r="H221" s="201"/>
      <c r="I221" s="634"/>
      <c r="J221" s="201"/>
      <c r="K221" s="201"/>
      <c r="L221" s="201"/>
      <c r="M221" s="201"/>
      <c r="N221" s="201"/>
      <c r="O221" s="201"/>
      <c r="P221" s="201"/>
    </row>
    <row r="222" spans="1:16" ht="12.75">
      <c r="A222" s="201"/>
      <c r="B222" s="201"/>
      <c r="C222" s="201"/>
      <c r="D222" s="201"/>
      <c r="E222" s="201"/>
      <c r="F222" s="201"/>
      <c r="G222" s="201"/>
      <c r="H222" s="201"/>
      <c r="I222" s="274"/>
      <c r="J222" s="201"/>
      <c r="K222" s="201"/>
      <c r="L222" s="201"/>
      <c r="M222" s="201"/>
      <c r="N222" s="201"/>
      <c r="O222" s="201"/>
      <c r="P222" s="201"/>
    </row>
    <row r="223" spans="1:16" ht="12.75">
      <c r="A223" s="201"/>
      <c r="B223" s="201"/>
      <c r="C223" s="201"/>
      <c r="D223" s="201"/>
      <c r="E223" s="201"/>
      <c r="F223" s="201"/>
      <c r="G223" s="201"/>
      <c r="H223" s="201"/>
      <c r="I223" s="274"/>
      <c r="J223" s="201"/>
      <c r="K223" s="201"/>
      <c r="L223" s="201"/>
      <c r="M223" s="201"/>
      <c r="N223" s="201"/>
      <c r="O223" s="201"/>
      <c r="P223" s="201"/>
    </row>
    <row r="224" spans="1:16" ht="12.75">
      <c r="A224" s="201"/>
      <c r="B224" s="201"/>
      <c r="C224" s="201"/>
      <c r="D224" s="201"/>
      <c r="E224" s="201"/>
      <c r="F224" s="201"/>
      <c r="G224" s="201"/>
      <c r="H224" s="201"/>
      <c r="I224" s="274"/>
      <c r="J224" s="201"/>
      <c r="K224" s="201"/>
      <c r="L224" s="201"/>
      <c r="M224" s="201"/>
      <c r="N224" s="201"/>
      <c r="O224" s="201"/>
      <c r="P224" s="201"/>
    </row>
    <row r="225" spans="1:4" ht="12.75">
      <c r="A225" s="201"/>
      <c r="B225" s="201"/>
      <c r="C225" s="201"/>
      <c r="D225" s="636"/>
    </row>
    <row r="226" spans="1:4" ht="12.75">
      <c r="A226" s="201"/>
      <c r="B226" s="201"/>
      <c r="C226" s="201"/>
      <c r="D226" s="201"/>
    </row>
    <row r="227" spans="1:4" ht="12.75">
      <c r="A227" s="201"/>
      <c r="B227" s="201"/>
      <c r="C227" s="201"/>
      <c r="D227" s="201"/>
    </row>
    <row r="228" ht="12.75">
      <c r="B228" s="275"/>
    </row>
    <row r="229" ht="12.75">
      <c r="B229" s="275"/>
    </row>
    <row r="230" ht="12.75">
      <c r="B230" s="275"/>
    </row>
    <row r="231" ht="12.75">
      <c r="B231" s="275"/>
    </row>
    <row r="232" ht="12.75">
      <c r="B232" s="275"/>
    </row>
    <row r="233" ht="12.75">
      <c r="B233" s="275"/>
    </row>
    <row r="234" ht="12.75">
      <c r="B234" s="275"/>
    </row>
    <row r="235" ht="12.75">
      <c r="B235" s="275"/>
    </row>
    <row r="509" ht="12.75"/>
    <row r="510" ht="12.75"/>
    <row r="511" ht="12.75"/>
    <row r="512" ht="12.75"/>
  </sheetData>
  <sheetProtection/>
  <mergeCells count="5">
    <mergeCell ref="C2:I2"/>
    <mergeCell ref="J2:P2"/>
    <mergeCell ref="B2:B3"/>
    <mergeCell ref="A2:A3"/>
    <mergeCell ref="A218:B218"/>
  </mergeCells>
  <printOptions/>
  <pageMargins left="0.7" right="0.7" top="0.75" bottom="0.75" header="0.3" footer="0.3"/>
  <pageSetup fitToHeight="0" fitToWidth="1" horizontalDpi="600" verticalDpi="600" orientation="landscape" paperSize="9" scale="5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5"/>
  <sheetViews>
    <sheetView zoomScalePageLayoutView="0" workbookViewId="0" topLeftCell="A19">
      <selection activeCell="K99" sqref="K99"/>
    </sheetView>
  </sheetViews>
  <sheetFormatPr defaultColWidth="9.140625" defaultRowHeight="12.75"/>
  <cols>
    <col min="1" max="1" width="14.57421875" style="0" customWidth="1"/>
    <col min="2" max="2" width="12.7109375" style="0" customWidth="1"/>
    <col min="3" max="3" width="9.7109375" style="0" customWidth="1"/>
    <col min="4" max="4" width="10.140625" style="0" customWidth="1"/>
    <col min="5" max="5" width="9.421875" style="0" customWidth="1"/>
    <col min="6" max="6" width="10.28125" style="0" customWidth="1"/>
    <col min="7" max="7" width="11.8515625" style="0" customWidth="1"/>
    <col min="8" max="8" width="11.421875" style="0" customWidth="1"/>
    <col min="9" max="9" width="10.8515625" style="0" customWidth="1"/>
    <col min="10" max="10" width="10.57421875" style="0" customWidth="1"/>
    <col min="12" max="12" width="12.28125" style="0" customWidth="1"/>
    <col min="13" max="13" width="10.8515625" style="0" customWidth="1"/>
    <col min="14" max="14" width="11.140625" style="0" customWidth="1"/>
    <col min="15" max="15" width="10.140625" style="0" customWidth="1"/>
    <col min="16" max="16" width="10.57421875" style="0" customWidth="1"/>
    <col min="17" max="17" width="10.8515625" style="0" customWidth="1"/>
    <col min="18" max="18" width="10.57421875" style="0" customWidth="1"/>
    <col min="19" max="19" width="23.421875" style="0" customWidth="1"/>
  </cols>
  <sheetData>
    <row r="1" spans="1:19" ht="31.5" customHeight="1" thickBot="1">
      <c r="A1" s="144" t="s">
        <v>117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</row>
    <row r="2" spans="1:19" ht="15">
      <c r="A2" s="916" t="s">
        <v>91</v>
      </c>
      <c r="B2" s="916" t="s">
        <v>92</v>
      </c>
      <c r="C2" s="918" t="s">
        <v>93</v>
      </c>
      <c r="D2" s="920" t="s">
        <v>94</v>
      </c>
      <c r="E2" s="922" t="s">
        <v>109</v>
      </c>
      <c r="F2" s="910" t="s">
        <v>79</v>
      </c>
      <c r="G2" s="911"/>
      <c r="H2" s="911"/>
      <c r="I2" s="911"/>
      <c r="J2" s="911"/>
      <c r="K2" s="911"/>
      <c r="L2" s="912"/>
      <c r="M2" s="910" t="s">
        <v>111</v>
      </c>
      <c r="N2" s="911"/>
      <c r="O2" s="911"/>
      <c r="P2" s="911"/>
      <c r="Q2" s="911"/>
      <c r="R2" s="911"/>
      <c r="S2" s="912"/>
    </row>
    <row r="3" spans="1:19" ht="52.5" customHeight="1" thickBot="1">
      <c r="A3" s="917"/>
      <c r="B3" s="917"/>
      <c r="C3" s="919"/>
      <c r="D3" s="921"/>
      <c r="E3" s="923"/>
      <c r="F3" s="80" t="s">
        <v>3</v>
      </c>
      <c r="G3" s="81" t="s">
        <v>4</v>
      </c>
      <c r="H3" s="81" t="s">
        <v>5</v>
      </c>
      <c r="I3" s="81" t="s">
        <v>0</v>
      </c>
      <c r="J3" s="81" t="s">
        <v>1</v>
      </c>
      <c r="K3" s="81" t="s">
        <v>95</v>
      </c>
      <c r="L3" s="146" t="s">
        <v>6</v>
      </c>
      <c r="M3" s="80" t="s">
        <v>3</v>
      </c>
      <c r="N3" s="81" t="s">
        <v>4</v>
      </c>
      <c r="O3" s="81" t="s">
        <v>5</v>
      </c>
      <c r="P3" s="81" t="s">
        <v>0</v>
      </c>
      <c r="Q3" s="81" t="s">
        <v>1</v>
      </c>
      <c r="R3" s="81" t="s">
        <v>95</v>
      </c>
      <c r="S3" s="146" t="s">
        <v>6</v>
      </c>
    </row>
    <row r="4" spans="1:19" ht="12.75">
      <c r="A4" s="929" t="s">
        <v>96</v>
      </c>
      <c r="B4" s="89" t="s">
        <v>7</v>
      </c>
      <c r="C4" s="89"/>
      <c r="D4" s="89"/>
      <c r="E4" s="89"/>
      <c r="F4" s="90"/>
      <c r="G4" s="91"/>
      <c r="H4" s="91"/>
      <c r="I4" s="91"/>
      <c r="J4" s="91"/>
      <c r="K4" s="91"/>
      <c r="L4" s="92"/>
      <c r="M4" s="90"/>
      <c r="N4" s="91"/>
      <c r="O4" s="91"/>
      <c r="P4" s="91"/>
      <c r="Q4" s="91"/>
      <c r="R4" s="91"/>
      <c r="S4" s="92"/>
    </row>
    <row r="5" spans="1:19" ht="25.5">
      <c r="A5" s="930"/>
      <c r="B5" s="93" t="s">
        <v>28</v>
      </c>
      <c r="C5" s="93"/>
      <c r="D5" s="93"/>
      <c r="E5" s="93"/>
      <c r="F5" s="94"/>
      <c r="G5" s="95"/>
      <c r="H5" s="95"/>
      <c r="I5" s="95"/>
      <c r="J5" s="95"/>
      <c r="K5" s="95"/>
      <c r="L5" s="96"/>
      <c r="M5" s="94"/>
      <c r="N5" s="95"/>
      <c r="O5" s="95"/>
      <c r="P5" s="95"/>
      <c r="Q5" s="95"/>
      <c r="R5" s="97"/>
      <c r="S5" s="96"/>
    </row>
    <row r="6" spans="1:19" ht="25.5">
      <c r="A6" s="930"/>
      <c r="B6" s="98" t="s">
        <v>27</v>
      </c>
      <c r="C6" s="98"/>
      <c r="D6" s="98"/>
      <c r="E6" s="98"/>
      <c r="F6" s="99"/>
      <c r="G6" s="100"/>
      <c r="H6" s="100"/>
      <c r="I6" s="100"/>
      <c r="J6" s="100"/>
      <c r="K6" s="100"/>
      <c r="L6" s="101"/>
      <c r="M6" s="99"/>
      <c r="N6" s="100"/>
      <c r="O6" s="100"/>
      <c r="P6" s="100"/>
      <c r="Q6" s="100"/>
      <c r="R6" s="100"/>
      <c r="S6" s="101"/>
    </row>
    <row r="7" spans="1:19" ht="51">
      <c r="A7" s="930"/>
      <c r="B7" s="98" t="s">
        <v>12</v>
      </c>
      <c r="C7" s="98"/>
      <c r="D7" s="98"/>
      <c r="E7" s="98"/>
      <c r="F7" s="102"/>
      <c r="G7" s="103"/>
      <c r="H7" s="103"/>
      <c r="I7" s="103"/>
      <c r="J7" s="103"/>
      <c r="K7" s="103"/>
      <c r="L7" s="101"/>
      <c r="M7" s="102"/>
      <c r="N7" s="103"/>
      <c r="O7" s="103"/>
      <c r="P7" s="103"/>
      <c r="Q7" s="103"/>
      <c r="R7" s="103"/>
      <c r="S7" s="101"/>
    </row>
    <row r="8" spans="1:19" ht="25.5">
      <c r="A8" s="930"/>
      <c r="B8" s="98" t="s">
        <v>8</v>
      </c>
      <c r="C8" s="98"/>
      <c r="D8" s="98"/>
      <c r="E8" s="98"/>
      <c r="F8" s="102"/>
      <c r="G8" s="103"/>
      <c r="H8" s="103"/>
      <c r="I8" s="103"/>
      <c r="J8" s="103"/>
      <c r="K8" s="103"/>
      <c r="L8" s="101"/>
      <c r="M8" s="102"/>
      <c r="N8" s="103"/>
      <c r="O8" s="103"/>
      <c r="P8" s="103"/>
      <c r="Q8" s="103"/>
      <c r="R8" s="103"/>
      <c r="S8" s="101"/>
    </row>
    <row r="9" spans="1:19" ht="12.75">
      <c r="A9" s="930"/>
      <c r="B9" s="98" t="s">
        <v>97</v>
      </c>
      <c r="C9" s="98"/>
      <c r="D9" s="98"/>
      <c r="E9" s="98"/>
      <c r="F9" s="102"/>
      <c r="G9" s="103"/>
      <c r="H9" s="103"/>
      <c r="I9" s="103"/>
      <c r="J9" s="103"/>
      <c r="K9" s="103"/>
      <c r="L9" s="101"/>
      <c r="M9" s="102"/>
      <c r="N9" s="103"/>
      <c r="O9" s="103"/>
      <c r="P9" s="103"/>
      <c r="Q9" s="103"/>
      <c r="R9" s="103"/>
      <c r="S9" s="101"/>
    </row>
    <row r="10" spans="1:19" ht="12.75">
      <c r="A10" s="930"/>
      <c r="B10" s="104" t="s">
        <v>11</v>
      </c>
      <c r="C10" s="98"/>
      <c r="D10" s="98"/>
      <c r="E10" s="98"/>
      <c r="F10" s="102"/>
      <c r="G10" s="103"/>
      <c r="H10" s="103"/>
      <c r="I10" s="103"/>
      <c r="J10" s="103"/>
      <c r="K10" s="103"/>
      <c r="L10" s="101"/>
      <c r="M10" s="102"/>
      <c r="N10" s="103"/>
      <c r="O10" s="103"/>
      <c r="P10" s="103"/>
      <c r="Q10" s="103"/>
      <c r="R10" s="103"/>
      <c r="S10" s="101"/>
    </row>
    <row r="11" spans="1:19" ht="13.5" thickBot="1">
      <c r="A11" s="931"/>
      <c r="B11" s="105" t="s">
        <v>15</v>
      </c>
      <c r="C11" s="105"/>
      <c r="D11" s="105"/>
      <c r="E11" s="106"/>
      <c r="F11" s="107"/>
      <c r="G11" s="108"/>
      <c r="H11" s="108"/>
      <c r="I11" s="108"/>
      <c r="J11" s="108"/>
      <c r="K11" s="108"/>
      <c r="L11" s="109"/>
      <c r="M11" s="107"/>
      <c r="N11" s="108"/>
      <c r="O11" s="108"/>
      <c r="P11" s="108"/>
      <c r="Q11" s="108"/>
      <c r="R11" s="108"/>
      <c r="S11" s="109"/>
    </row>
    <row r="12" spans="1:19" ht="12.75">
      <c r="A12" s="924" t="s">
        <v>99</v>
      </c>
      <c r="B12" s="89" t="s">
        <v>7</v>
      </c>
      <c r="C12" s="89"/>
      <c r="D12" s="89"/>
      <c r="E12" s="89"/>
      <c r="F12" s="110"/>
      <c r="G12" s="111"/>
      <c r="H12" s="111"/>
      <c r="I12" s="111"/>
      <c r="J12" s="111"/>
      <c r="K12" s="111"/>
      <c r="L12" s="92"/>
      <c r="M12" s="110"/>
      <c r="N12" s="111"/>
      <c r="O12" s="111"/>
      <c r="P12" s="111"/>
      <c r="Q12" s="111"/>
      <c r="R12" s="111"/>
      <c r="S12" s="92"/>
    </row>
    <row r="13" spans="1:19" ht="25.5">
      <c r="A13" s="924"/>
      <c r="B13" s="93" t="s">
        <v>28</v>
      </c>
      <c r="C13" s="93"/>
      <c r="D13" s="98"/>
      <c r="E13" s="98"/>
      <c r="F13" s="102"/>
      <c r="G13" s="103"/>
      <c r="H13" s="103"/>
      <c r="I13" s="103"/>
      <c r="J13" s="103"/>
      <c r="K13" s="117"/>
      <c r="L13" s="118"/>
      <c r="M13" s="119"/>
      <c r="N13" s="103"/>
      <c r="O13" s="103"/>
      <c r="P13" s="103"/>
      <c r="Q13" s="103"/>
      <c r="R13" s="117"/>
      <c r="S13" s="118"/>
    </row>
    <row r="14" spans="1:19" ht="25.5">
      <c r="A14" s="924"/>
      <c r="B14" s="98" t="s">
        <v>27</v>
      </c>
      <c r="C14" s="93"/>
      <c r="D14" s="93"/>
      <c r="E14" s="93"/>
      <c r="F14" s="120"/>
      <c r="G14" s="121"/>
      <c r="H14" s="121"/>
      <c r="I14" s="121"/>
      <c r="J14" s="121"/>
      <c r="K14" s="103"/>
      <c r="L14" s="101"/>
      <c r="M14" s="102"/>
      <c r="N14" s="121"/>
      <c r="O14" s="121"/>
      <c r="P14" s="121"/>
      <c r="Q14" s="121"/>
      <c r="R14" s="103"/>
      <c r="S14" s="101"/>
    </row>
    <row r="15" spans="1:19" ht="38.25">
      <c r="A15" s="924"/>
      <c r="B15" s="98" t="s">
        <v>12</v>
      </c>
      <c r="C15" s="98"/>
      <c r="D15" s="98"/>
      <c r="E15" s="98"/>
      <c r="F15" s="102"/>
      <c r="G15" s="103"/>
      <c r="H15" s="103"/>
      <c r="I15" s="103"/>
      <c r="J15" s="103"/>
      <c r="K15" s="103"/>
      <c r="L15" s="101"/>
      <c r="M15" s="102"/>
      <c r="N15" s="103"/>
      <c r="O15" s="103"/>
      <c r="P15" s="103"/>
      <c r="Q15" s="103"/>
      <c r="R15" s="103"/>
      <c r="S15" s="101"/>
    </row>
    <row r="16" spans="1:19" ht="25.5">
      <c r="A16" s="924"/>
      <c r="B16" s="98" t="s">
        <v>8</v>
      </c>
      <c r="C16" s="98"/>
      <c r="D16" s="98"/>
      <c r="E16" s="98"/>
      <c r="F16" s="102"/>
      <c r="G16" s="103"/>
      <c r="H16" s="103"/>
      <c r="I16" s="103"/>
      <c r="J16" s="103"/>
      <c r="K16" s="103"/>
      <c r="L16" s="101"/>
      <c r="M16" s="102"/>
      <c r="N16" s="103"/>
      <c r="O16" s="103"/>
      <c r="P16" s="103"/>
      <c r="Q16" s="103"/>
      <c r="R16" s="103"/>
      <c r="S16" s="101"/>
    </row>
    <row r="17" spans="1:19" ht="12.75">
      <c r="A17" s="924"/>
      <c r="B17" s="98" t="s">
        <v>97</v>
      </c>
      <c r="C17" s="98"/>
      <c r="D17" s="98"/>
      <c r="E17" s="98"/>
      <c r="F17" s="102"/>
      <c r="G17" s="103"/>
      <c r="H17" s="103"/>
      <c r="I17" s="103"/>
      <c r="J17" s="103"/>
      <c r="K17" s="103"/>
      <c r="L17" s="101"/>
      <c r="M17" s="102"/>
      <c r="N17" s="103"/>
      <c r="O17" s="103"/>
      <c r="P17" s="103"/>
      <c r="Q17" s="103"/>
      <c r="R17" s="103"/>
      <c r="S17" s="101"/>
    </row>
    <row r="18" spans="1:19" ht="12.75">
      <c r="A18" s="924"/>
      <c r="B18" s="104" t="s">
        <v>11</v>
      </c>
      <c r="C18" s="98"/>
      <c r="D18" s="98"/>
      <c r="E18" s="98"/>
      <c r="F18" s="102"/>
      <c r="G18" s="103"/>
      <c r="H18" s="103"/>
      <c r="I18" s="103"/>
      <c r="J18" s="103"/>
      <c r="K18" s="103"/>
      <c r="L18" s="101"/>
      <c r="M18" s="102"/>
      <c r="N18" s="103"/>
      <c r="O18" s="103"/>
      <c r="P18" s="103"/>
      <c r="Q18" s="103"/>
      <c r="R18" s="103"/>
      <c r="S18" s="101"/>
    </row>
    <row r="19" spans="1:19" ht="13.5" thickBot="1">
      <c r="A19" s="924"/>
      <c r="B19" s="105" t="s">
        <v>15</v>
      </c>
      <c r="C19" s="105"/>
      <c r="D19" s="105"/>
      <c r="E19" s="106"/>
      <c r="F19" s="114"/>
      <c r="G19" s="115"/>
      <c r="H19" s="115"/>
      <c r="I19" s="115"/>
      <c r="J19" s="115"/>
      <c r="K19" s="115"/>
      <c r="L19" s="116"/>
      <c r="M19" s="122"/>
      <c r="N19" s="123"/>
      <c r="O19" s="123"/>
      <c r="P19" s="123"/>
      <c r="Q19" s="123"/>
      <c r="R19" s="123"/>
      <c r="S19" s="124"/>
    </row>
    <row r="20" spans="1:19" ht="15" customHeight="1">
      <c r="A20" s="913" t="s">
        <v>100</v>
      </c>
      <c r="B20" s="89" t="s">
        <v>7</v>
      </c>
      <c r="C20" s="145"/>
      <c r="D20" s="145"/>
      <c r="E20" s="145"/>
      <c r="F20" s="130"/>
      <c r="G20" s="131"/>
      <c r="H20" s="131"/>
      <c r="I20" s="131"/>
      <c r="J20" s="131"/>
      <c r="K20" s="131"/>
      <c r="L20" s="132"/>
      <c r="M20" s="130"/>
      <c r="N20" s="131"/>
      <c r="O20" s="131"/>
      <c r="P20" s="131"/>
      <c r="Q20" s="131"/>
      <c r="R20" s="131"/>
      <c r="S20" s="132"/>
    </row>
    <row r="21" spans="1:19" ht="25.5">
      <c r="A21" s="914"/>
      <c r="B21" s="93" t="s">
        <v>28</v>
      </c>
      <c r="C21" s="104"/>
      <c r="D21" s="104"/>
      <c r="E21" s="104"/>
      <c r="F21" s="127"/>
      <c r="G21" s="128"/>
      <c r="H21" s="128"/>
      <c r="I21" s="128"/>
      <c r="J21" s="128"/>
      <c r="K21" s="128"/>
      <c r="L21" s="129"/>
      <c r="M21" s="127"/>
      <c r="N21" s="128"/>
      <c r="O21" s="128"/>
      <c r="P21" s="128"/>
      <c r="Q21" s="128"/>
      <c r="R21" s="128"/>
      <c r="S21" s="129"/>
    </row>
    <row r="22" spans="1:19" ht="25.5">
      <c r="A22" s="914"/>
      <c r="B22" s="98" t="s">
        <v>27</v>
      </c>
      <c r="C22" s="104"/>
      <c r="D22" s="104"/>
      <c r="E22" s="104"/>
      <c r="F22" s="127"/>
      <c r="G22" s="128"/>
      <c r="H22" s="128"/>
      <c r="I22" s="128"/>
      <c r="J22" s="128"/>
      <c r="K22" s="128"/>
      <c r="L22" s="129"/>
      <c r="M22" s="127"/>
      <c r="N22" s="128"/>
      <c r="O22" s="128"/>
      <c r="P22" s="128"/>
      <c r="Q22" s="128"/>
      <c r="R22" s="128"/>
      <c r="S22" s="129"/>
    </row>
    <row r="23" spans="1:19" ht="51">
      <c r="A23" s="914"/>
      <c r="B23" s="98" t="s">
        <v>12</v>
      </c>
      <c r="C23" s="104"/>
      <c r="D23" s="104"/>
      <c r="E23" s="104"/>
      <c r="F23" s="127"/>
      <c r="G23" s="128"/>
      <c r="H23" s="128"/>
      <c r="I23" s="128"/>
      <c r="J23" s="128"/>
      <c r="K23" s="128"/>
      <c r="L23" s="129"/>
      <c r="M23" s="127"/>
      <c r="N23" s="128"/>
      <c r="O23" s="128"/>
      <c r="P23" s="128"/>
      <c r="Q23" s="128"/>
      <c r="R23" s="128"/>
      <c r="S23" s="129"/>
    </row>
    <row r="24" spans="1:19" ht="25.5">
      <c r="A24" s="914"/>
      <c r="B24" s="98" t="s">
        <v>8</v>
      </c>
      <c r="C24" s="104"/>
      <c r="D24" s="104"/>
      <c r="E24" s="104"/>
      <c r="F24" s="127"/>
      <c r="G24" s="128"/>
      <c r="H24" s="128"/>
      <c r="I24" s="128"/>
      <c r="J24" s="128"/>
      <c r="K24" s="128"/>
      <c r="L24" s="129"/>
      <c r="M24" s="127"/>
      <c r="N24" s="128"/>
      <c r="O24" s="128"/>
      <c r="P24" s="128"/>
      <c r="Q24" s="128"/>
      <c r="R24" s="128"/>
      <c r="S24" s="129"/>
    </row>
    <row r="25" spans="1:19" ht="12.75">
      <c r="A25" s="914"/>
      <c r="B25" s="98" t="s">
        <v>97</v>
      </c>
      <c r="C25" s="93"/>
      <c r="D25" s="93"/>
      <c r="E25" s="93"/>
      <c r="F25" s="120"/>
      <c r="G25" s="121"/>
      <c r="H25" s="121"/>
      <c r="I25" s="121"/>
      <c r="J25" s="121"/>
      <c r="K25" s="121"/>
      <c r="L25" s="96"/>
      <c r="M25" s="120"/>
      <c r="N25" s="121"/>
      <c r="O25" s="121"/>
      <c r="P25" s="121"/>
      <c r="Q25" s="121"/>
      <c r="R25" s="121"/>
      <c r="S25" s="96"/>
    </row>
    <row r="26" spans="1:19" ht="12.75">
      <c r="A26" s="914"/>
      <c r="B26" s="104" t="s">
        <v>11</v>
      </c>
      <c r="C26" s="98"/>
      <c r="D26" s="98"/>
      <c r="E26" s="98"/>
      <c r="F26" s="133"/>
      <c r="G26" s="134"/>
      <c r="H26" s="134"/>
      <c r="I26" s="134"/>
      <c r="J26" s="134"/>
      <c r="K26" s="134"/>
      <c r="L26" s="101"/>
      <c r="M26" s="133"/>
      <c r="N26" s="134"/>
      <c r="O26" s="134"/>
      <c r="P26" s="134"/>
      <c r="Q26" s="134"/>
      <c r="R26" s="134"/>
      <c r="S26" s="101"/>
    </row>
    <row r="27" spans="1:19" ht="15.75" customHeight="1" thickBot="1">
      <c r="A27" s="915"/>
      <c r="B27" s="125" t="s">
        <v>15</v>
      </c>
      <c r="C27" s="125"/>
      <c r="D27" s="125"/>
      <c r="E27" s="126"/>
      <c r="F27" s="135"/>
      <c r="G27" s="136"/>
      <c r="H27" s="136"/>
      <c r="I27" s="136"/>
      <c r="J27" s="136"/>
      <c r="K27" s="136"/>
      <c r="L27" s="137"/>
      <c r="M27" s="135"/>
      <c r="N27" s="136"/>
      <c r="O27" s="136"/>
      <c r="P27" s="136"/>
      <c r="Q27" s="136"/>
      <c r="R27" s="136"/>
      <c r="S27" s="137"/>
    </row>
    <row r="28" spans="1:19" ht="12.75">
      <c r="A28" s="913" t="s">
        <v>114</v>
      </c>
      <c r="B28" s="89" t="s">
        <v>7</v>
      </c>
      <c r="C28" s="89"/>
      <c r="D28" s="89"/>
      <c r="E28" s="89"/>
      <c r="F28" s="110"/>
      <c r="G28" s="111"/>
      <c r="H28" s="111"/>
      <c r="I28" s="111"/>
      <c r="J28" s="111"/>
      <c r="K28" s="111"/>
      <c r="L28" s="92"/>
      <c r="M28" s="110"/>
      <c r="N28" s="111"/>
      <c r="O28" s="111"/>
      <c r="P28" s="111"/>
      <c r="Q28" s="111"/>
      <c r="R28" s="111"/>
      <c r="S28" s="92"/>
    </row>
    <row r="29" spans="1:19" ht="25.5">
      <c r="A29" s="924"/>
      <c r="B29" s="93" t="s">
        <v>28</v>
      </c>
      <c r="C29" s="93"/>
      <c r="D29" s="93"/>
      <c r="E29" s="93"/>
      <c r="F29" s="102"/>
      <c r="G29" s="103"/>
      <c r="H29" s="103"/>
      <c r="I29" s="103"/>
      <c r="J29" s="103"/>
      <c r="K29" s="103"/>
      <c r="L29" s="101"/>
      <c r="M29" s="102"/>
      <c r="N29" s="103"/>
      <c r="O29" s="103"/>
      <c r="P29" s="103"/>
      <c r="Q29" s="103"/>
      <c r="R29" s="103"/>
      <c r="S29" s="101"/>
    </row>
    <row r="30" spans="1:19" ht="25.5">
      <c r="A30" s="924"/>
      <c r="B30" s="98" t="s">
        <v>27</v>
      </c>
      <c r="C30" s="98"/>
      <c r="D30" s="98"/>
      <c r="E30" s="98"/>
      <c r="F30" s="102"/>
      <c r="G30" s="103"/>
      <c r="H30" s="103"/>
      <c r="I30" s="103"/>
      <c r="J30" s="103"/>
      <c r="K30" s="103"/>
      <c r="L30" s="101"/>
      <c r="M30" s="102"/>
      <c r="N30" s="103"/>
      <c r="O30" s="103"/>
      <c r="P30" s="103"/>
      <c r="Q30" s="103"/>
      <c r="R30" s="103"/>
      <c r="S30" s="101"/>
    </row>
    <row r="31" spans="1:19" ht="51">
      <c r="A31" s="924"/>
      <c r="B31" s="98" t="s">
        <v>12</v>
      </c>
      <c r="C31" s="98"/>
      <c r="D31" s="98"/>
      <c r="E31" s="98"/>
      <c r="F31" s="102"/>
      <c r="G31" s="103"/>
      <c r="H31" s="103"/>
      <c r="I31" s="103"/>
      <c r="J31" s="103"/>
      <c r="K31" s="103"/>
      <c r="L31" s="101"/>
      <c r="M31" s="102"/>
      <c r="N31" s="103"/>
      <c r="O31" s="103"/>
      <c r="P31" s="103"/>
      <c r="Q31" s="103"/>
      <c r="R31" s="103"/>
      <c r="S31" s="101"/>
    </row>
    <row r="32" spans="1:19" ht="25.5">
      <c r="A32" s="924"/>
      <c r="B32" s="98" t="s">
        <v>8</v>
      </c>
      <c r="C32" s="98"/>
      <c r="D32" s="98"/>
      <c r="E32" s="98"/>
      <c r="F32" s="102"/>
      <c r="G32" s="103"/>
      <c r="H32" s="103"/>
      <c r="I32" s="103"/>
      <c r="J32" s="103"/>
      <c r="K32" s="103"/>
      <c r="L32" s="101"/>
      <c r="M32" s="102"/>
      <c r="N32" s="103"/>
      <c r="O32" s="103"/>
      <c r="P32" s="103"/>
      <c r="Q32" s="103"/>
      <c r="R32" s="103"/>
      <c r="S32" s="101"/>
    </row>
    <row r="33" spans="1:19" ht="12.75">
      <c r="A33" s="924"/>
      <c r="B33" s="98" t="s">
        <v>97</v>
      </c>
      <c r="C33" s="98"/>
      <c r="D33" s="98"/>
      <c r="E33" s="98"/>
      <c r="F33" s="102"/>
      <c r="G33" s="103"/>
      <c r="H33" s="103"/>
      <c r="I33" s="103"/>
      <c r="J33" s="103"/>
      <c r="K33" s="103"/>
      <c r="L33" s="101"/>
      <c r="M33" s="102"/>
      <c r="N33" s="103"/>
      <c r="O33" s="103"/>
      <c r="P33" s="103"/>
      <c r="Q33" s="103"/>
      <c r="R33" s="103"/>
      <c r="S33" s="101"/>
    </row>
    <row r="34" spans="1:19" ht="12.75">
      <c r="A34" s="924"/>
      <c r="B34" s="104" t="s">
        <v>11</v>
      </c>
      <c r="C34" s="98"/>
      <c r="D34" s="98"/>
      <c r="E34" s="98"/>
      <c r="F34" s="102"/>
      <c r="G34" s="103"/>
      <c r="H34" s="103"/>
      <c r="I34" s="103"/>
      <c r="J34" s="103"/>
      <c r="K34" s="103"/>
      <c r="L34" s="101"/>
      <c r="M34" s="102"/>
      <c r="N34" s="103"/>
      <c r="O34" s="103"/>
      <c r="P34" s="103"/>
      <c r="Q34" s="103"/>
      <c r="R34" s="103"/>
      <c r="S34" s="101"/>
    </row>
    <row r="35" spans="1:19" ht="17.25" customHeight="1" thickBot="1">
      <c r="A35" s="932"/>
      <c r="B35" s="125" t="s">
        <v>15</v>
      </c>
      <c r="C35" s="125"/>
      <c r="D35" s="125"/>
      <c r="E35" s="126"/>
      <c r="F35" s="122"/>
      <c r="G35" s="123"/>
      <c r="H35" s="123"/>
      <c r="I35" s="123"/>
      <c r="J35" s="123"/>
      <c r="K35" s="123"/>
      <c r="L35" s="124"/>
      <c r="M35" s="122"/>
      <c r="N35" s="123"/>
      <c r="O35" s="123"/>
      <c r="P35" s="123"/>
      <c r="Q35" s="123"/>
      <c r="R35" s="123"/>
      <c r="S35" s="124"/>
    </row>
    <row r="36" spans="1:19" ht="12.75">
      <c r="A36" s="913" t="s">
        <v>98</v>
      </c>
      <c r="B36" s="89" t="s">
        <v>7</v>
      </c>
      <c r="C36" s="89"/>
      <c r="D36" s="89"/>
      <c r="E36" s="89"/>
      <c r="F36" s="110"/>
      <c r="G36" s="111"/>
      <c r="H36" s="111"/>
      <c r="I36" s="111"/>
      <c r="J36" s="111"/>
      <c r="K36" s="111"/>
      <c r="L36" s="92"/>
      <c r="M36" s="110"/>
      <c r="N36" s="111"/>
      <c r="O36" s="111"/>
      <c r="P36" s="111"/>
      <c r="Q36" s="111"/>
      <c r="R36" s="111"/>
      <c r="S36" s="92"/>
    </row>
    <row r="37" spans="1:19" ht="25.5">
      <c r="A37" s="924"/>
      <c r="B37" s="93" t="s">
        <v>28</v>
      </c>
      <c r="C37" s="93"/>
      <c r="D37" s="93"/>
      <c r="E37" s="93"/>
      <c r="F37" s="102"/>
      <c r="G37" s="103"/>
      <c r="H37" s="103"/>
      <c r="I37" s="103"/>
      <c r="J37" s="103"/>
      <c r="K37" s="103"/>
      <c r="L37" s="101"/>
      <c r="M37" s="102"/>
      <c r="N37" s="103"/>
      <c r="O37" s="103"/>
      <c r="P37" s="103"/>
      <c r="Q37" s="103"/>
      <c r="R37" s="103"/>
      <c r="S37" s="101"/>
    </row>
    <row r="38" spans="1:19" ht="25.5">
      <c r="A38" s="924"/>
      <c r="B38" s="98" t="s">
        <v>27</v>
      </c>
      <c r="C38" s="98"/>
      <c r="D38" s="98"/>
      <c r="E38" s="98"/>
      <c r="F38" s="102"/>
      <c r="G38" s="103"/>
      <c r="H38" s="103"/>
      <c r="I38" s="103"/>
      <c r="J38" s="103"/>
      <c r="K38" s="103"/>
      <c r="L38" s="101"/>
      <c r="M38" s="102"/>
      <c r="N38" s="103"/>
      <c r="O38" s="103"/>
      <c r="P38" s="103"/>
      <c r="Q38" s="103"/>
      <c r="R38" s="103"/>
      <c r="S38" s="101"/>
    </row>
    <row r="39" spans="1:19" ht="51">
      <c r="A39" s="924"/>
      <c r="B39" s="98" t="s">
        <v>12</v>
      </c>
      <c r="C39" s="98"/>
      <c r="D39" s="98"/>
      <c r="E39" s="98"/>
      <c r="F39" s="102"/>
      <c r="G39" s="103"/>
      <c r="H39" s="103"/>
      <c r="I39" s="103"/>
      <c r="J39" s="103"/>
      <c r="K39" s="103"/>
      <c r="L39" s="101"/>
      <c r="M39" s="102"/>
      <c r="N39" s="103"/>
      <c r="O39" s="103"/>
      <c r="P39" s="103"/>
      <c r="Q39" s="103"/>
      <c r="R39" s="103"/>
      <c r="S39" s="101"/>
    </row>
    <row r="40" spans="1:19" ht="25.5">
      <c r="A40" s="924"/>
      <c r="B40" s="98" t="s">
        <v>8</v>
      </c>
      <c r="C40" s="98"/>
      <c r="D40" s="98"/>
      <c r="E40" s="98"/>
      <c r="F40" s="102"/>
      <c r="G40" s="103"/>
      <c r="H40" s="103"/>
      <c r="I40" s="103"/>
      <c r="J40" s="103"/>
      <c r="K40" s="103"/>
      <c r="L40" s="101"/>
      <c r="M40" s="102"/>
      <c r="N40" s="103"/>
      <c r="O40" s="103"/>
      <c r="P40" s="103"/>
      <c r="Q40" s="103"/>
      <c r="R40" s="103"/>
      <c r="S40" s="101"/>
    </row>
    <row r="41" spans="1:19" ht="12.75">
      <c r="A41" s="924"/>
      <c r="B41" s="98" t="s">
        <v>97</v>
      </c>
      <c r="C41" s="98"/>
      <c r="D41" s="98"/>
      <c r="E41" s="98"/>
      <c r="F41" s="102"/>
      <c r="G41" s="103"/>
      <c r="H41" s="103"/>
      <c r="I41" s="103"/>
      <c r="J41" s="103"/>
      <c r="K41" s="103"/>
      <c r="L41" s="101"/>
      <c r="M41" s="102"/>
      <c r="N41" s="103"/>
      <c r="O41" s="103"/>
      <c r="P41" s="103"/>
      <c r="Q41" s="103"/>
      <c r="R41" s="103"/>
      <c r="S41" s="101"/>
    </row>
    <row r="42" spans="1:19" ht="12.75">
      <c r="A42" s="924"/>
      <c r="B42" s="104" t="s">
        <v>11</v>
      </c>
      <c r="C42" s="98"/>
      <c r="D42" s="98"/>
      <c r="E42" s="98"/>
      <c r="F42" s="102"/>
      <c r="G42" s="103"/>
      <c r="H42" s="103"/>
      <c r="I42" s="103"/>
      <c r="J42" s="103"/>
      <c r="K42" s="103"/>
      <c r="L42" s="101"/>
      <c r="M42" s="102"/>
      <c r="N42" s="103"/>
      <c r="O42" s="103"/>
      <c r="P42" s="103"/>
      <c r="Q42" s="103"/>
      <c r="R42" s="103"/>
      <c r="S42" s="101"/>
    </row>
    <row r="43" spans="1:19" ht="13.5" thickBot="1">
      <c r="A43" s="932"/>
      <c r="B43" s="105" t="s">
        <v>15</v>
      </c>
      <c r="C43" s="105"/>
      <c r="D43" s="112"/>
      <c r="E43" s="113"/>
      <c r="F43" s="114"/>
      <c r="G43" s="115"/>
      <c r="H43" s="115"/>
      <c r="I43" s="115"/>
      <c r="J43" s="115"/>
      <c r="K43" s="115"/>
      <c r="L43" s="116"/>
      <c r="M43" s="114"/>
      <c r="N43" s="115"/>
      <c r="O43" s="115"/>
      <c r="P43" s="115"/>
      <c r="Q43" s="115"/>
      <c r="R43" s="115"/>
      <c r="S43" s="116"/>
    </row>
    <row r="44" spans="1:19" ht="12.75">
      <c r="A44" s="913" t="s">
        <v>101</v>
      </c>
      <c r="B44" s="89" t="s">
        <v>7</v>
      </c>
      <c r="C44" s="89"/>
      <c r="D44" s="89"/>
      <c r="E44" s="89"/>
      <c r="F44" s="90"/>
      <c r="G44" s="91"/>
      <c r="H44" s="91"/>
      <c r="I44" s="91"/>
      <c r="J44" s="91"/>
      <c r="K44" s="91"/>
      <c r="L44" s="92"/>
      <c r="M44" s="90"/>
      <c r="N44" s="91"/>
      <c r="O44" s="91"/>
      <c r="P44" s="91"/>
      <c r="Q44" s="91"/>
      <c r="R44" s="91"/>
      <c r="S44" s="92"/>
    </row>
    <row r="45" spans="1:19" ht="25.5">
      <c r="A45" s="924"/>
      <c r="B45" s="93" t="s">
        <v>28</v>
      </c>
      <c r="C45" s="93"/>
      <c r="D45" s="93"/>
      <c r="E45" s="93"/>
      <c r="F45" s="94"/>
      <c r="G45" s="95"/>
      <c r="H45" s="95"/>
      <c r="I45" s="95"/>
      <c r="J45" s="95"/>
      <c r="K45" s="95"/>
      <c r="L45" s="96"/>
      <c r="M45" s="94"/>
      <c r="N45" s="95"/>
      <c r="O45" s="95"/>
      <c r="P45" s="95"/>
      <c r="Q45" s="95"/>
      <c r="R45" s="95"/>
      <c r="S45" s="96"/>
    </row>
    <row r="46" spans="1:19" ht="25.5">
      <c r="A46" s="924"/>
      <c r="B46" s="98" t="s">
        <v>27</v>
      </c>
      <c r="C46" s="93"/>
      <c r="D46" s="93"/>
      <c r="E46" s="93"/>
      <c r="F46" s="94"/>
      <c r="G46" s="95"/>
      <c r="H46" s="95"/>
      <c r="I46" s="95"/>
      <c r="J46" s="95"/>
      <c r="K46" s="95"/>
      <c r="L46" s="96"/>
      <c r="M46" s="94"/>
      <c r="N46" s="95"/>
      <c r="O46" s="95"/>
      <c r="P46" s="95"/>
      <c r="Q46" s="95"/>
      <c r="R46" s="95"/>
      <c r="S46" s="96"/>
    </row>
    <row r="47" spans="1:19" ht="51">
      <c r="A47" s="924"/>
      <c r="B47" s="98" t="s">
        <v>12</v>
      </c>
      <c r="C47" s="93"/>
      <c r="D47" s="93"/>
      <c r="E47" s="93"/>
      <c r="F47" s="94"/>
      <c r="G47" s="95"/>
      <c r="H47" s="95"/>
      <c r="I47" s="95"/>
      <c r="J47" s="95"/>
      <c r="K47" s="95"/>
      <c r="L47" s="96"/>
      <c r="M47" s="94"/>
      <c r="N47" s="95"/>
      <c r="O47" s="95"/>
      <c r="P47" s="95"/>
      <c r="Q47" s="95"/>
      <c r="R47" s="95"/>
      <c r="S47" s="96"/>
    </row>
    <row r="48" spans="1:19" ht="25.5">
      <c r="A48" s="924"/>
      <c r="B48" s="98" t="s">
        <v>8</v>
      </c>
      <c r="C48" s="93"/>
      <c r="D48" s="93"/>
      <c r="E48" s="93"/>
      <c r="F48" s="94"/>
      <c r="G48" s="95"/>
      <c r="H48" s="95"/>
      <c r="I48" s="95"/>
      <c r="J48" s="95"/>
      <c r="K48" s="95"/>
      <c r="L48" s="96"/>
      <c r="M48" s="94"/>
      <c r="N48" s="95"/>
      <c r="O48" s="95"/>
      <c r="P48" s="95"/>
      <c r="Q48" s="95"/>
      <c r="R48" s="95"/>
      <c r="S48" s="96"/>
    </row>
    <row r="49" spans="1:19" ht="12.75">
      <c r="A49" s="924"/>
      <c r="B49" s="98" t="s">
        <v>97</v>
      </c>
      <c r="C49" s="93"/>
      <c r="D49" s="93"/>
      <c r="E49" s="93"/>
      <c r="F49" s="94"/>
      <c r="G49" s="95"/>
      <c r="H49" s="95"/>
      <c r="I49" s="95"/>
      <c r="J49" s="95"/>
      <c r="K49" s="95"/>
      <c r="L49" s="96"/>
      <c r="M49" s="94"/>
      <c r="N49" s="95"/>
      <c r="O49" s="95"/>
      <c r="P49" s="95"/>
      <c r="Q49" s="95"/>
      <c r="R49" s="95"/>
      <c r="S49" s="96"/>
    </row>
    <row r="50" spans="1:19" ht="12.75">
      <c r="A50" s="924"/>
      <c r="B50" s="104" t="s">
        <v>11</v>
      </c>
      <c r="C50" s="93"/>
      <c r="D50" s="93"/>
      <c r="E50" s="93"/>
      <c r="F50" s="94"/>
      <c r="G50" s="95"/>
      <c r="H50" s="95"/>
      <c r="I50" s="95"/>
      <c r="J50" s="95"/>
      <c r="K50" s="95"/>
      <c r="L50" s="96"/>
      <c r="M50" s="94"/>
      <c r="N50" s="95"/>
      <c r="O50" s="95"/>
      <c r="P50" s="95"/>
      <c r="Q50" s="95"/>
      <c r="R50" s="95"/>
      <c r="S50" s="96"/>
    </row>
    <row r="51" spans="1:19" ht="13.5" thickBot="1">
      <c r="A51" s="924"/>
      <c r="B51" s="105" t="s">
        <v>15</v>
      </c>
      <c r="C51" s="105"/>
      <c r="D51" s="125"/>
      <c r="E51" s="126"/>
      <c r="F51" s="138"/>
      <c r="G51" s="139"/>
      <c r="H51" s="139"/>
      <c r="I51" s="139"/>
      <c r="J51" s="139"/>
      <c r="K51" s="139"/>
      <c r="L51" s="140"/>
      <c r="M51" s="141"/>
      <c r="N51" s="142"/>
      <c r="O51" s="142"/>
      <c r="P51" s="142"/>
      <c r="Q51" s="142"/>
      <c r="R51" s="142"/>
      <c r="S51" s="143"/>
    </row>
    <row r="52" spans="1:19" ht="12.75">
      <c r="A52" s="913" t="s">
        <v>116</v>
      </c>
      <c r="B52" s="89" t="s">
        <v>7</v>
      </c>
      <c r="C52" s="89"/>
      <c r="D52" s="89"/>
      <c r="E52" s="89"/>
      <c r="F52" s="90"/>
      <c r="G52" s="91"/>
      <c r="H52" s="91"/>
      <c r="I52" s="91"/>
      <c r="J52" s="91"/>
      <c r="K52" s="91"/>
      <c r="L52" s="92"/>
      <c r="M52" s="90"/>
      <c r="N52" s="91"/>
      <c r="O52" s="91"/>
      <c r="P52" s="91"/>
      <c r="Q52" s="91"/>
      <c r="R52" s="91"/>
      <c r="S52" s="92"/>
    </row>
    <row r="53" spans="1:19" ht="25.5">
      <c r="A53" s="924"/>
      <c r="B53" s="93" t="s">
        <v>28</v>
      </c>
      <c r="C53" s="93"/>
      <c r="D53" s="93"/>
      <c r="E53" s="93"/>
      <c r="F53" s="94"/>
      <c r="G53" s="95"/>
      <c r="H53" s="95"/>
      <c r="I53" s="95"/>
      <c r="J53" s="95"/>
      <c r="K53" s="95"/>
      <c r="L53" s="96"/>
      <c r="M53" s="94"/>
      <c r="N53" s="95"/>
      <c r="O53" s="95"/>
      <c r="P53" s="95"/>
      <c r="Q53" s="95"/>
      <c r="R53" s="95"/>
      <c r="S53" s="96"/>
    </row>
    <row r="54" spans="1:19" ht="25.5">
      <c r="A54" s="924"/>
      <c r="B54" s="98" t="s">
        <v>27</v>
      </c>
      <c r="C54" s="93"/>
      <c r="D54" s="93"/>
      <c r="E54" s="93"/>
      <c r="F54" s="94"/>
      <c r="G54" s="95"/>
      <c r="H54" s="95"/>
      <c r="I54" s="95"/>
      <c r="J54" s="95"/>
      <c r="K54" s="95"/>
      <c r="L54" s="96"/>
      <c r="M54" s="94"/>
      <c r="N54" s="95"/>
      <c r="O54" s="95"/>
      <c r="P54" s="95"/>
      <c r="Q54" s="95"/>
      <c r="R54" s="95"/>
      <c r="S54" s="96"/>
    </row>
    <row r="55" spans="1:19" ht="51">
      <c r="A55" s="924"/>
      <c r="B55" s="98" t="s">
        <v>12</v>
      </c>
      <c r="C55" s="93"/>
      <c r="D55" s="93"/>
      <c r="E55" s="93"/>
      <c r="F55" s="94"/>
      <c r="G55" s="95"/>
      <c r="H55" s="95"/>
      <c r="I55" s="95"/>
      <c r="J55" s="95"/>
      <c r="K55" s="95"/>
      <c r="L55" s="96"/>
      <c r="M55" s="94"/>
      <c r="N55" s="95"/>
      <c r="O55" s="95"/>
      <c r="P55" s="95"/>
      <c r="Q55" s="95"/>
      <c r="R55" s="95"/>
      <c r="S55" s="96"/>
    </row>
    <row r="56" spans="1:19" ht="25.5">
      <c r="A56" s="924"/>
      <c r="B56" s="98" t="s">
        <v>8</v>
      </c>
      <c r="C56" s="93"/>
      <c r="D56" s="93"/>
      <c r="E56" s="93"/>
      <c r="F56" s="94"/>
      <c r="G56" s="95"/>
      <c r="H56" s="95"/>
      <c r="I56" s="95"/>
      <c r="J56" s="95"/>
      <c r="K56" s="95"/>
      <c r="L56" s="96"/>
      <c r="M56" s="94"/>
      <c r="N56" s="95"/>
      <c r="O56" s="95"/>
      <c r="P56" s="95"/>
      <c r="Q56" s="95"/>
      <c r="R56" s="95"/>
      <c r="S56" s="96"/>
    </row>
    <row r="57" spans="1:19" ht="12.75">
      <c r="A57" s="924"/>
      <c r="B57" s="98" t="s">
        <v>97</v>
      </c>
      <c r="C57" s="93"/>
      <c r="D57" s="93"/>
      <c r="E57" s="93"/>
      <c r="F57" s="94"/>
      <c r="G57" s="95"/>
      <c r="H57" s="95"/>
      <c r="I57" s="95"/>
      <c r="J57" s="95"/>
      <c r="K57" s="95"/>
      <c r="L57" s="96"/>
      <c r="M57" s="94"/>
      <c r="N57" s="95"/>
      <c r="O57" s="95"/>
      <c r="P57" s="95"/>
      <c r="Q57" s="95"/>
      <c r="R57" s="95"/>
      <c r="S57" s="96"/>
    </row>
    <row r="58" spans="1:19" ht="12.75">
      <c r="A58" s="924"/>
      <c r="B58" s="104" t="s">
        <v>11</v>
      </c>
      <c r="C58" s="93"/>
      <c r="D58" s="93"/>
      <c r="E58" s="93"/>
      <c r="F58" s="94"/>
      <c r="G58" s="95"/>
      <c r="H58" s="95"/>
      <c r="I58" s="95"/>
      <c r="J58" s="95"/>
      <c r="K58" s="95"/>
      <c r="L58" s="96"/>
      <c r="M58" s="94"/>
      <c r="N58" s="95"/>
      <c r="O58" s="95"/>
      <c r="P58" s="95"/>
      <c r="Q58" s="95"/>
      <c r="R58" s="95"/>
      <c r="S58" s="96"/>
    </row>
    <row r="59" spans="1:19" ht="13.5" thickBot="1">
      <c r="A59" s="924"/>
      <c r="B59" s="105" t="s">
        <v>15</v>
      </c>
      <c r="C59" s="105"/>
      <c r="D59" s="125"/>
      <c r="E59" s="126"/>
      <c r="F59" s="138"/>
      <c r="G59" s="139"/>
      <c r="H59" s="139"/>
      <c r="I59" s="139"/>
      <c r="J59" s="139"/>
      <c r="K59" s="139"/>
      <c r="L59" s="140"/>
      <c r="M59" s="141"/>
      <c r="N59" s="142"/>
      <c r="O59" s="142"/>
      <c r="P59" s="142"/>
      <c r="Q59" s="142"/>
      <c r="R59" s="142"/>
      <c r="S59" s="143"/>
    </row>
    <row r="60" spans="1:19" ht="12.75">
      <c r="A60" s="913" t="s">
        <v>102</v>
      </c>
      <c r="B60" s="89" t="s">
        <v>7</v>
      </c>
      <c r="C60" s="89"/>
      <c r="D60" s="89"/>
      <c r="E60" s="89"/>
      <c r="F60" s="90"/>
      <c r="G60" s="91"/>
      <c r="H60" s="91"/>
      <c r="I60" s="91"/>
      <c r="J60" s="91"/>
      <c r="K60" s="91"/>
      <c r="L60" s="92"/>
      <c r="M60" s="90"/>
      <c r="N60" s="91"/>
      <c r="O60" s="91"/>
      <c r="P60" s="91"/>
      <c r="Q60" s="91"/>
      <c r="R60" s="91"/>
      <c r="S60" s="92"/>
    </row>
    <row r="61" spans="1:19" ht="25.5">
      <c r="A61" s="924"/>
      <c r="B61" s="93" t="s">
        <v>28</v>
      </c>
      <c r="C61" s="93"/>
      <c r="D61" s="93"/>
      <c r="E61" s="93"/>
      <c r="F61" s="94"/>
      <c r="G61" s="95"/>
      <c r="H61" s="95"/>
      <c r="I61" s="95"/>
      <c r="J61" s="95"/>
      <c r="K61" s="95"/>
      <c r="L61" s="96"/>
      <c r="M61" s="94"/>
      <c r="N61" s="95"/>
      <c r="O61" s="95"/>
      <c r="P61" s="95"/>
      <c r="Q61" s="95"/>
      <c r="R61" s="95"/>
      <c r="S61" s="96"/>
    </row>
    <row r="62" spans="1:19" ht="25.5">
      <c r="A62" s="924"/>
      <c r="B62" s="98" t="s">
        <v>27</v>
      </c>
      <c r="C62" s="93"/>
      <c r="D62" s="93"/>
      <c r="E62" s="93"/>
      <c r="F62" s="94"/>
      <c r="G62" s="95"/>
      <c r="H62" s="95"/>
      <c r="I62" s="95"/>
      <c r="J62" s="95"/>
      <c r="K62" s="95"/>
      <c r="L62" s="96"/>
      <c r="M62" s="94"/>
      <c r="N62" s="95"/>
      <c r="O62" s="95"/>
      <c r="P62" s="95"/>
      <c r="Q62" s="95"/>
      <c r="R62" s="95"/>
      <c r="S62" s="96"/>
    </row>
    <row r="63" spans="1:19" ht="51">
      <c r="A63" s="924"/>
      <c r="B63" s="98" t="s">
        <v>12</v>
      </c>
      <c r="C63" s="93"/>
      <c r="D63" s="93"/>
      <c r="E63" s="93"/>
      <c r="F63" s="94"/>
      <c r="G63" s="95"/>
      <c r="H63" s="95"/>
      <c r="I63" s="95"/>
      <c r="J63" s="95"/>
      <c r="K63" s="95"/>
      <c r="L63" s="96"/>
      <c r="M63" s="94"/>
      <c r="N63" s="95"/>
      <c r="O63" s="95"/>
      <c r="P63" s="95"/>
      <c r="Q63" s="95"/>
      <c r="R63" s="95"/>
      <c r="S63" s="96"/>
    </row>
    <row r="64" spans="1:19" ht="25.5">
      <c r="A64" s="924"/>
      <c r="B64" s="98" t="s">
        <v>8</v>
      </c>
      <c r="C64" s="93"/>
      <c r="D64" s="93"/>
      <c r="E64" s="93"/>
      <c r="F64" s="94"/>
      <c r="G64" s="95"/>
      <c r="H64" s="95"/>
      <c r="I64" s="95"/>
      <c r="J64" s="95"/>
      <c r="K64" s="95"/>
      <c r="L64" s="96"/>
      <c r="M64" s="94"/>
      <c r="N64" s="95"/>
      <c r="O64" s="95"/>
      <c r="P64" s="95"/>
      <c r="Q64" s="95"/>
      <c r="R64" s="95"/>
      <c r="S64" s="96"/>
    </row>
    <row r="65" spans="1:19" ht="12.75">
      <c r="A65" s="924"/>
      <c r="B65" s="98" t="s">
        <v>97</v>
      </c>
      <c r="C65" s="93"/>
      <c r="D65" s="93"/>
      <c r="E65" s="93"/>
      <c r="F65" s="94"/>
      <c r="G65" s="95"/>
      <c r="H65" s="95"/>
      <c r="I65" s="95"/>
      <c r="J65" s="95"/>
      <c r="K65" s="95"/>
      <c r="L65" s="96"/>
      <c r="M65" s="94"/>
      <c r="N65" s="95"/>
      <c r="O65" s="95"/>
      <c r="P65" s="95"/>
      <c r="Q65" s="95"/>
      <c r="R65" s="95"/>
      <c r="S65" s="96"/>
    </row>
    <row r="66" spans="1:19" ht="12.75">
      <c r="A66" s="924"/>
      <c r="B66" s="104" t="s">
        <v>11</v>
      </c>
      <c r="C66" s="93"/>
      <c r="D66" s="93"/>
      <c r="E66" s="93"/>
      <c r="F66" s="94"/>
      <c r="G66" s="95"/>
      <c r="H66" s="95"/>
      <c r="I66" s="95"/>
      <c r="J66" s="95"/>
      <c r="K66" s="95"/>
      <c r="L66" s="96"/>
      <c r="M66" s="94"/>
      <c r="N66" s="95"/>
      <c r="O66" s="95"/>
      <c r="P66" s="95"/>
      <c r="Q66" s="95"/>
      <c r="R66" s="95"/>
      <c r="S66" s="96"/>
    </row>
    <row r="67" spans="1:19" ht="13.5" thickBot="1">
      <c r="A67" s="924"/>
      <c r="B67" s="105" t="s">
        <v>15</v>
      </c>
      <c r="C67" s="105"/>
      <c r="D67" s="125"/>
      <c r="E67" s="126"/>
      <c r="F67" s="141"/>
      <c r="G67" s="142"/>
      <c r="H67" s="142"/>
      <c r="I67" s="142"/>
      <c r="J67" s="142"/>
      <c r="K67" s="142"/>
      <c r="L67" s="143"/>
      <c r="M67" s="141"/>
      <c r="N67" s="142"/>
      <c r="O67" s="142"/>
      <c r="P67" s="142"/>
      <c r="Q67" s="142"/>
      <c r="R67" s="142"/>
      <c r="S67" s="143"/>
    </row>
    <row r="68" spans="1:19" ht="13.5" thickBot="1">
      <c r="A68" s="925" t="s">
        <v>14</v>
      </c>
      <c r="B68" s="926"/>
      <c r="C68" s="147"/>
      <c r="D68" s="147"/>
      <c r="E68" s="148"/>
      <c r="F68" s="149"/>
      <c r="G68" s="150"/>
      <c r="H68" s="150"/>
      <c r="I68" s="150"/>
      <c r="J68" s="150"/>
      <c r="K68" s="150"/>
      <c r="L68" s="151"/>
      <c r="M68" s="149"/>
      <c r="N68" s="150"/>
      <c r="O68" s="150"/>
      <c r="P68" s="150"/>
      <c r="Q68" s="150"/>
      <c r="R68" s="150"/>
      <c r="S68" s="152"/>
    </row>
    <row r="69" spans="1:19" ht="12.75">
      <c r="A69" s="67" t="s">
        <v>21</v>
      </c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</row>
    <row r="70" spans="1:19" ht="40.5" customHeight="1">
      <c r="A70" s="927" t="s">
        <v>115</v>
      </c>
      <c r="B70" s="928"/>
      <c r="C70" s="928"/>
      <c r="D70" s="928"/>
      <c r="E70" s="928"/>
      <c r="F70" s="928"/>
      <c r="G70" s="928"/>
      <c r="H70" s="928"/>
      <c r="I70" s="928"/>
      <c r="J70" s="928"/>
      <c r="K70" s="928"/>
      <c r="L70" s="928"/>
      <c r="M70" s="72"/>
      <c r="N70" s="72"/>
      <c r="O70" s="72"/>
      <c r="P70" s="72"/>
      <c r="Q70" s="72"/>
      <c r="R70" s="72"/>
      <c r="S70" s="72"/>
    </row>
    <row r="71" spans="1:19" ht="12.75">
      <c r="A71" s="67" t="s">
        <v>112</v>
      </c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</row>
    <row r="72" spans="1:19" ht="12.75">
      <c r="A72" s="67" t="s">
        <v>103</v>
      </c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</row>
    <row r="73" spans="1:19" ht="12.75">
      <c r="A73" s="67" t="s">
        <v>110</v>
      </c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</row>
    <row r="74" spans="1:19" ht="12.75">
      <c r="A74" s="67" t="s">
        <v>104</v>
      </c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</row>
    <row r="75" spans="1:19" ht="12.75">
      <c r="A75" s="67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</row>
  </sheetData>
  <sheetProtection/>
  <mergeCells count="17">
    <mergeCell ref="A44:A51"/>
    <mergeCell ref="M2:S2"/>
    <mergeCell ref="A52:A59"/>
    <mergeCell ref="A60:A67"/>
    <mergeCell ref="A68:B68"/>
    <mergeCell ref="A70:L70"/>
    <mergeCell ref="A4:A11"/>
    <mergeCell ref="A36:A43"/>
    <mergeCell ref="A12:A19"/>
    <mergeCell ref="A28:A35"/>
    <mergeCell ref="F2:L2"/>
    <mergeCell ref="A20:A27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fitToHeight="0" fitToWidth="1" horizontalDpi="600" verticalDpi="600" orientation="landscape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zoomScale="70" zoomScaleNormal="70" zoomScaleSheetLayoutView="70" zoomScalePageLayoutView="20" workbookViewId="0" topLeftCell="A1">
      <selection activeCell="H21" sqref="H21"/>
    </sheetView>
  </sheetViews>
  <sheetFormatPr defaultColWidth="9.140625" defaultRowHeight="12.75"/>
  <cols>
    <col min="1" max="1" width="17.28125" style="24" customWidth="1"/>
    <col min="2" max="2" width="49.57421875" style="68" customWidth="1"/>
    <col min="3" max="3" width="11.57421875" style="68" customWidth="1"/>
    <col min="4" max="5" width="10.00390625" style="68" customWidth="1"/>
    <col min="6" max="8" width="13.8515625" style="68" bestFit="1" customWidth="1"/>
    <col min="9" max="13" width="13.8515625" style="68" customWidth="1"/>
    <col min="14" max="15" width="13.8515625" style="68" bestFit="1" customWidth="1"/>
    <col min="16" max="19" width="13.8515625" style="68" customWidth="1"/>
    <col min="20" max="16384" width="9.140625" style="68" customWidth="1"/>
  </cols>
  <sheetData>
    <row r="1" spans="1:19" ht="54" customHeight="1" thickBot="1">
      <c r="A1" s="933" t="s">
        <v>106</v>
      </c>
      <c r="B1" s="934"/>
      <c r="C1" s="935"/>
      <c r="D1" s="935"/>
      <c r="E1" s="935"/>
      <c r="F1" s="935"/>
      <c r="G1" s="935"/>
      <c r="H1" s="935"/>
      <c r="I1" s="935"/>
      <c r="J1" s="935"/>
      <c r="K1" s="935"/>
      <c r="L1" s="935"/>
      <c r="M1" s="935"/>
      <c r="N1" s="935"/>
      <c r="O1" s="935"/>
      <c r="P1" s="935"/>
      <c r="Q1" s="935"/>
      <c r="R1" s="935"/>
      <c r="S1" s="935"/>
    </row>
    <row r="2" spans="1:19" ht="23.25" customHeight="1">
      <c r="A2" s="916" t="s">
        <v>90</v>
      </c>
      <c r="B2" s="943" t="s">
        <v>25</v>
      </c>
      <c r="C2" s="918" t="s">
        <v>85</v>
      </c>
      <c r="D2" s="920" t="s">
        <v>86</v>
      </c>
      <c r="E2" s="922" t="s">
        <v>87</v>
      </c>
      <c r="F2" s="910" t="s">
        <v>79</v>
      </c>
      <c r="G2" s="911"/>
      <c r="H2" s="911"/>
      <c r="I2" s="911"/>
      <c r="J2" s="911"/>
      <c r="K2" s="911"/>
      <c r="L2" s="912"/>
      <c r="M2" s="910" t="s">
        <v>80</v>
      </c>
      <c r="N2" s="911"/>
      <c r="O2" s="911"/>
      <c r="P2" s="911"/>
      <c r="Q2" s="911"/>
      <c r="R2" s="911"/>
      <c r="S2" s="912"/>
    </row>
    <row r="3" spans="1:19" s="69" customFormat="1" ht="48" customHeight="1" thickBot="1">
      <c r="A3" s="917"/>
      <c r="B3" s="944"/>
      <c r="C3" s="919"/>
      <c r="D3" s="921"/>
      <c r="E3" s="923"/>
      <c r="F3" s="80" t="s">
        <v>3</v>
      </c>
      <c r="G3" s="81" t="s">
        <v>4</v>
      </c>
      <c r="H3" s="81" t="s">
        <v>5</v>
      </c>
      <c r="I3" s="81" t="s">
        <v>0</v>
      </c>
      <c r="J3" s="81" t="s">
        <v>1</v>
      </c>
      <c r="K3" s="81" t="s">
        <v>68</v>
      </c>
      <c r="L3" s="74" t="s">
        <v>6</v>
      </c>
      <c r="M3" s="80" t="s">
        <v>3</v>
      </c>
      <c r="N3" s="81" t="s">
        <v>4</v>
      </c>
      <c r="O3" s="81" t="s">
        <v>5</v>
      </c>
      <c r="P3" s="81" t="s">
        <v>0</v>
      </c>
      <c r="Q3" s="81" t="s">
        <v>1</v>
      </c>
      <c r="R3" s="81" t="s">
        <v>68</v>
      </c>
      <c r="S3" s="74" t="s">
        <v>6</v>
      </c>
    </row>
    <row r="4" spans="1:19" s="2" customFormat="1" ht="36.75" customHeight="1">
      <c r="A4" s="939" t="s">
        <v>7</v>
      </c>
      <c r="B4" s="14" t="s">
        <v>32</v>
      </c>
      <c r="C4" s="25"/>
      <c r="D4" s="26"/>
      <c r="E4" s="27"/>
      <c r="F4" s="20"/>
      <c r="G4" s="1"/>
      <c r="H4" s="1"/>
      <c r="I4" s="1"/>
      <c r="J4" s="1"/>
      <c r="K4" s="1"/>
      <c r="L4" s="75"/>
      <c r="M4" s="20"/>
      <c r="N4" s="1"/>
      <c r="O4" s="1"/>
      <c r="P4" s="1"/>
      <c r="Q4" s="1"/>
      <c r="R4" s="1"/>
      <c r="S4" s="75"/>
    </row>
    <row r="5" spans="1:19" s="2" customFormat="1" ht="36.75" customHeight="1">
      <c r="A5" s="940"/>
      <c r="B5" s="6" t="s">
        <v>30</v>
      </c>
      <c r="C5" s="28"/>
      <c r="D5" s="29"/>
      <c r="E5" s="30"/>
      <c r="F5" s="50"/>
      <c r="G5" s="3"/>
      <c r="H5" s="3"/>
      <c r="I5" s="3"/>
      <c r="J5" s="3"/>
      <c r="K5" s="3"/>
      <c r="L5" s="79"/>
      <c r="M5" s="50"/>
      <c r="N5" s="3"/>
      <c r="O5" s="3"/>
      <c r="P5" s="3"/>
      <c r="Q5" s="3"/>
      <c r="R5" s="4"/>
      <c r="S5" s="79"/>
    </row>
    <row r="6" spans="1:19" s="2" customFormat="1" ht="36.75" customHeight="1">
      <c r="A6" s="941"/>
      <c r="B6" s="57" t="s">
        <v>33</v>
      </c>
      <c r="C6" s="31"/>
      <c r="D6" s="32"/>
      <c r="E6" s="33"/>
      <c r="F6" s="51"/>
      <c r="G6" s="7"/>
      <c r="H6" s="7"/>
      <c r="I6" s="7"/>
      <c r="J6" s="7"/>
      <c r="K6" s="7"/>
      <c r="L6" s="76"/>
      <c r="M6" s="51"/>
      <c r="N6" s="7"/>
      <c r="O6" s="7"/>
      <c r="P6" s="7"/>
      <c r="Q6" s="7"/>
      <c r="R6" s="7"/>
      <c r="S6" s="76"/>
    </row>
    <row r="7" spans="1:19" s="2" customFormat="1" ht="36.75" customHeight="1">
      <c r="A7" s="941"/>
      <c r="B7" s="57" t="s">
        <v>34</v>
      </c>
      <c r="C7" s="31"/>
      <c r="D7" s="32"/>
      <c r="E7" s="33"/>
      <c r="F7" s="52"/>
      <c r="G7" s="8"/>
      <c r="H7" s="8"/>
      <c r="I7" s="8"/>
      <c r="J7" s="8"/>
      <c r="K7" s="8"/>
      <c r="L7" s="76"/>
      <c r="M7" s="52"/>
      <c r="N7" s="8"/>
      <c r="O7" s="8"/>
      <c r="P7" s="8"/>
      <c r="Q7" s="8"/>
      <c r="R7" s="8"/>
      <c r="S7" s="76"/>
    </row>
    <row r="8" spans="1:19" s="2" customFormat="1" ht="36.75" customHeight="1">
      <c r="A8" s="941"/>
      <c r="B8" s="57" t="s">
        <v>35</v>
      </c>
      <c r="C8" s="31"/>
      <c r="D8" s="32"/>
      <c r="E8" s="33"/>
      <c r="F8" s="52"/>
      <c r="G8" s="8"/>
      <c r="H8" s="8"/>
      <c r="I8" s="8"/>
      <c r="J8" s="8"/>
      <c r="K8" s="8"/>
      <c r="L8" s="76"/>
      <c r="M8" s="52"/>
      <c r="N8" s="8"/>
      <c r="O8" s="8"/>
      <c r="P8" s="8"/>
      <c r="Q8" s="8"/>
      <c r="R8" s="8"/>
      <c r="S8" s="76"/>
    </row>
    <row r="9" spans="1:19" s="2" customFormat="1" ht="36.75" customHeight="1">
      <c r="A9" s="941"/>
      <c r="B9" s="57" t="s">
        <v>36</v>
      </c>
      <c r="C9" s="31"/>
      <c r="D9" s="34"/>
      <c r="E9" s="35"/>
      <c r="F9" s="52"/>
      <c r="G9" s="8"/>
      <c r="H9" s="8"/>
      <c r="I9" s="8"/>
      <c r="J9" s="8"/>
      <c r="K9" s="8"/>
      <c r="L9" s="76"/>
      <c r="M9" s="52"/>
      <c r="N9" s="8"/>
      <c r="O9" s="8"/>
      <c r="P9" s="8"/>
      <c r="Q9" s="8"/>
      <c r="R9" s="8"/>
      <c r="S9" s="76"/>
    </row>
    <row r="10" spans="1:19" s="2" customFormat="1" ht="36.75" customHeight="1">
      <c r="A10" s="941"/>
      <c r="B10" s="57" t="s">
        <v>37</v>
      </c>
      <c r="C10" s="31"/>
      <c r="D10" s="34"/>
      <c r="E10" s="35"/>
      <c r="F10" s="52"/>
      <c r="G10" s="8"/>
      <c r="H10" s="8"/>
      <c r="I10" s="8"/>
      <c r="J10" s="8"/>
      <c r="K10" s="8"/>
      <c r="L10" s="76"/>
      <c r="M10" s="52"/>
      <c r="N10" s="8"/>
      <c r="O10" s="8"/>
      <c r="P10" s="8"/>
      <c r="Q10" s="8"/>
      <c r="R10" s="8"/>
      <c r="S10" s="76"/>
    </row>
    <row r="11" spans="1:19" s="2" customFormat="1" ht="36.75" customHeight="1">
      <c r="A11" s="941"/>
      <c r="B11" s="6" t="s">
        <v>38</v>
      </c>
      <c r="C11" s="31"/>
      <c r="D11" s="34"/>
      <c r="E11" s="35"/>
      <c r="F11" s="52"/>
      <c r="G11" s="8"/>
      <c r="H11" s="8"/>
      <c r="I11" s="8"/>
      <c r="J11" s="8"/>
      <c r="K11" s="8"/>
      <c r="L11" s="76"/>
      <c r="M11" s="52"/>
      <c r="N11" s="8"/>
      <c r="O11" s="8"/>
      <c r="P11" s="8"/>
      <c r="Q11" s="8"/>
      <c r="R11" s="8"/>
      <c r="S11" s="76"/>
    </row>
    <row r="12" spans="1:19" s="2" customFormat="1" ht="36.75" customHeight="1">
      <c r="A12" s="940"/>
      <c r="B12" s="6" t="s">
        <v>39</v>
      </c>
      <c r="C12" s="31"/>
      <c r="D12" s="36"/>
      <c r="E12" s="37"/>
      <c r="F12" s="53"/>
      <c r="G12" s="9"/>
      <c r="H12" s="9"/>
      <c r="I12" s="9"/>
      <c r="J12" s="9"/>
      <c r="K12" s="9"/>
      <c r="L12" s="77"/>
      <c r="M12" s="53"/>
      <c r="N12" s="9"/>
      <c r="O12" s="9"/>
      <c r="P12" s="9"/>
      <c r="Q12" s="9"/>
      <c r="R12" s="9"/>
      <c r="S12" s="77"/>
    </row>
    <row r="13" spans="1:19" s="2" customFormat="1" ht="36.75" customHeight="1" thickBot="1">
      <c r="A13" s="942"/>
      <c r="B13" s="58" t="s">
        <v>40</v>
      </c>
      <c r="C13" s="38"/>
      <c r="D13" s="39"/>
      <c r="E13" s="40"/>
      <c r="F13" s="54"/>
      <c r="G13" s="10"/>
      <c r="H13" s="10"/>
      <c r="I13" s="10"/>
      <c r="J13" s="10"/>
      <c r="K13" s="10"/>
      <c r="L13" s="78"/>
      <c r="M13" s="54"/>
      <c r="N13" s="10"/>
      <c r="O13" s="10"/>
      <c r="P13" s="10"/>
      <c r="Q13" s="10"/>
      <c r="R13" s="10"/>
      <c r="S13" s="78"/>
    </row>
    <row r="14" spans="1:19" s="2" customFormat="1" ht="36.75" customHeight="1">
      <c r="A14" s="936" t="s">
        <v>28</v>
      </c>
      <c r="B14" s="59" t="s">
        <v>31</v>
      </c>
      <c r="C14" s="25"/>
      <c r="D14" s="26"/>
      <c r="E14" s="27"/>
      <c r="F14" s="55"/>
      <c r="G14" s="11"/>
      <c r="H14" s="11"/>
      <c r="I14" s="11"/>
      <c r="J14" s="11"/>
      <c r="K14" s="11"/>
      <c r="L14" s="75"/>
      <c r="M14" s="55"/>
      <c r="N14" s="11"/>
      <c r="O14" s="11"/>
      <c r="P14" s="11"/>
      <c r="Q14" s="11"/>
      <c r="R14" s="11"/>
      <c r="S14" s="75"/>
    </row>
    <row r="15" spans="1:19" s="2" customFormat="1" ht="36.75" customHeight="1">
      <c r="A15" s="937"/>
      <c r="B15" s="57" t="s">
        <v>41</v>
      </c>
      <c r="C15" s="31"/>
      <c r="D15" s="32"/>
      <c r="E15" s="33"/>
      <c r="F15" s="52"/>
      <c r="G15" s="8"/>
      <c r="H15" s="8"/>
      <c r="I15" s="8"/>
      <c r="J15" s="8"/>
      <c r="K15" s="8"/>
      <c r="L15" s="76"/>
      <c r="M15" s="52"/>
      <c r="N15" s="8"/>
      <c r="O15" s="8"/>
      <c r="P15" s="8"/>
      <c r="Q15" s="8"/>
      <c r="R15" s="8"/>
      <c r="S15" s="76"/>
    </row>
    <row r="16" spans="1:19" s="2" customFormat="1" ht="36.75" customHeight="1">
      <c r="A16" s="937"/>
      <c r="B16" s="57" t="s">
        <v>42</v>
      </c>
      <c r="C16" s="31"/>
      <c r="D16" s="32"/>
      <c r="E16" s="33"/>
      <c r="F16" s="52"/>
      <c r="G16" s="8"/>
      <c r="H16" s="8"/>
      <c r="I16" s="8"/>
      <c r="J16" s="8"/>
      <c r="K16" s="8"/>
      <c r="L16" s="76"/>
      <c r="M16" s="52"/>
      <c r="N16" s="8"/>
      <c r="O16" s="8"/>
      <c r="P16" s="8"/>
      <c r="Q16" s="8"/>
      <c r="R16" s="8"/>
      <c r="S16" s="76"/>
    </row>
    <row r="17" spans="1:19" s="2" customFormat="1" ht="36.75" customHeight="1">
      <c r="A17" s="937"/>
      <c r="B17" s="57" t="s">
        <v>43</v>
      </c>
      <c r="C17" s="31"/>
      <c r="D17" s="32"/>
      <c r="E17" s="33"/>
      <c r="F17" s="52"/>
      <c r="G17" s="8"/>
      <c r="H17" s="8"/>
      <c r="I17" s="8"/>
      <c r="J17" s="8"/>
      <c r="K17" s="8"/>
      <c r="L17" s="76"/>
      <c r="M17" s="52"/>
      <c r="N17" s="8"/>
      <c r="O17" s="8"/>
      <c r="P17" s="8"/>
      <c r="Q17" s="8"/>
      <c r="R17" s="8"/>
      <c r="S17" s="76"/>
    </row>
    <row r="18" spans="1:19" s="2" customFormat="1" ht="36.75" customHeight="1">
      <c r="A18" s="937"/>
      <c r="B18" s="57" t="s">
        <v>44</v>
      </c>
      <c r="C18" s="31"/>
      <c r="D18" s="32"/>
      <c r="E18" s="33"/>
      <c r="F18" s="52"/>
      <c r="G18" s="8"/>
      <c r="H18" s="8"/>
      <c r="I18" s="8"/>
      <c r="J18" s="8"/>
      <c r="K18" s="8"/>
      <c r="L18" s="76"/>
      <c r="M18" s="52"/>
      <c r="N18" s="8"/>
      <c r="O18" s="8"/>
      <c r="P18" s="8"/>
      <c r="Q18" s="8"/>
      <c r="R18" s="8"/>
      <c r="S18" s="76"/>
    </row>
    <row r="19" spans="1:19" s="2" customFormat="1" ht="36.75" customHeight="1">
      <c r="A19" s="937"/>
      <c r="B19" s="6" t="s">
        <v>45</v>
      </c>
      <c r="C19" s="31"/>
      <c r="D19" s="32"/>
      <c r="E19" s="33"/>
      <c r="F19" s="52"/>
      <c r="G19" s="12"/>
      <c r="H19" s="8"/>
      <c r="I19" s="8"/>
      <c r="J19" s="8"/>
      <c r="K19" s="8"/>
      <c r="L19" s="76"/>
      <c r="M19" s="52"/>
      <c r="N19" s="8"/>
      <c r="O19" s="8"/>
      <c r="P19" s="8"/>
      <c r="Q19" s="8"/>
      <c r="R19" s="8"/>
      <c r="S19" s="76"/>
    </row>
    <row r="20" spans="1:19" s="2" customFormat="1" ht="36.75" customHeight="1">
      <c r="A20" s="937"/>
      <c r="B20" s="57" t="s">
        <v>46</v>
      </c>
      <c r="C20" s="28"/>
      <c r="D20" s="32"/>
      <c r="E20" s="33"/>
      <c r="F20" s="52"/>
      <c r="G20" s="8"/>
      <c r="H20" s="8"/>
      <c r="I20" s="8"/>
      <c r="J20" s="8"/>
      <c r="K20" s="8"/>
      <c r="L20" s="76"/>
      <c r="M20" s="52"/>
      <c r="N20" s="8"/>
      <c r="O20" s="8"/>
      <c r="P20" s="8"/>
      <c r="Q20" s="8"/>
      <c r="R20" s="8"/>
      <c r="S20" s="76"/>
    </row>
    <row r="21" spans="1:19" s="66" customFormat="1" ht="36.75" customHeight="1">
      <c r="A21" s="937"/>
      <c r="B21" s="57" t="s">
        <v>47</v>
      </c>
      <c r="C21" s="31"/>
      <c r="D21" s="32"/>
      <c r="E21" s="33"/>
      <c r="F21" s="64"/>
      <c r="G21" s="65"/>
      <c r="H21" s="65"/>
      <c r="I21" s="65"/>
      <c r="J21" s="65"/>
      <c r="K21" s="65"/>
      <c r="L21" s="76"/>
      <c r="M21" s="64"/>
      <c r="N21" s="65"/>
      <c r="O21" s="65"/>
      <c r="P21" s="65"/>
      <c r="Q21" s="65"/>
      <c r="R21" s="65"/>
      <c r="S21" s="76"/>
    </row>
    <row r="22" spans="1:19" s="2" customFormat="1" ht="36.75" customHeight="1" thickBot="1">
      <c r="A22" s="938"/>
      <c r="B22" s="60" t="s">
        <v>48</v>
      </c>
      <c r="C22" s="41"/>
      <c r="D22" s="42"/>
      <c r="E22" s="43"/>
      <c r="F22" s="54"/>
      <c r="G22" s="10"/>
      <c r="H22" s="10"/>
      <c r="I22" s="10"/>
      <c r="J22" s="10"/>
      <c r="K22" s="10"/>
      <c r="L22" s="78"/>
      <c r="M22" s="54"/>
      <c r="N22" s="10"/>
      <c r="O22" s="10"/>
      <c r="P22" s="10"/>
      <c r="Q22" s="10"/>
      <c r="R22" s="10"/>
      <c r="S22" s="78"/>
    </row>
    <row r="23" spans="1:19" s="2" customFormat="1" ht="36.75" customHeight="1">
      <c r="A23" s="937" t="s">
        <v>27</v>
      </c>
      <c r="B23" s="61" t="s">
        <v>49</v>
      </c>
      <c r="C23" s="28"/>
      <c r="D23" s="29"/>
      <c r="E23" s="30"/>
      <c r="F23" s="16"/>
      <c r="G23" s="12"/>
      <c r="H23" s="12"/>
      <c r="I23" s="12"/>
      <c r="J23" s="12"/>
      <c r="K23" s="12"/>
      <c r="L23" s="79"/>
      <c r="M23" s="16"/>
      <c r="N23" s="12"/>
      <c r="O23" s="12"/>
      <c r="P23" s="12"/>
      <c r="Q23" s="12"/>
      <c r="R23" s="12"/>
      <c r="S23" s="79"/>
    </row>
    <row r="24" spans="1:19" s="2" customFormat="1" ht="36.75" customHeight="1">
      <c r="A24" s="937"/>
      <c r="B24" s="57" t="s">
        <v>50</v>
      </c>
      <c r="C24" s="31"/>
      <c r="D24" s="32"/>
      <c r="E24" s="33"/>
      <c r="F24" s="52"/>
      <c r="G24" s="8"/>
      <c r="H24" s="8"/>
      <c r="I24" s="8"/>
      <c r="J24" s="8"/>
      <c r="K24" s="8"/>
      <c r="L24" s="76"/>
      <c r="M24" s="52"/>
      <c r="N24" s="8"/>
      <c r="O24" s="8"/>
      <c r="P24" s="8"/>
      <c r="Q24" s="8"/>
      <c r="R24" s="8"/>
      <c r="S24" s="76"/>
    </row>
    <row r="25" spans="1:19" s="2" customFormat="1" ht="36.75" customHeight="1">
      <c r="A25" s="937"/>
      <c r="B25" s="73" t="s">
        <v>51</v>
      </c>
      <c r="C25" s="31"/>
      <c r="D25" s="32"/>
      <c r="E25" s="33"/>
      <c r="F25" s="52"/>
      <c r="G25" s="8"/>
      <c r="H25" s="8"/>
      <c r="I25" s="8"/>
      <c r="J25" s="8"/>
      <c r="K25" s="8"/>
      <c r="L25" s="76"/>
      <c r="M25" s="52"/>
      <c r="N25" s="8"/>
      <c r="O25" s="8"/>
      <c r="P25" s="8"/>
      <c r="Q25" s="8"/>
      <c r="R25" s="8"/>
      <c r="S25" s="76"/>
    </row>
    <row r="26" spans="1:19" s="2" customFormat="1" ht="36.75" customHeight="1">
      <c r="A26" s="937"/>
      <c r="B26" s="57" t="s">
        <v>52</v>
      </c>
      <c r="C26" s="31"/>
      <c r="D26" s="32"/>
      <c r="E26" s="33"/>
      <c r="F26" s="52"/>
      <c r="G26" s="8"/>
      <c r="H26" s="8"/>
      <c r="I26" s="8"/>
      <c r="J26" s="8"/>
      <c r="K26" s="8"/>
      <c r="L26" s="76"/>
      <c r="M26" s="52"/>
      <c r="N26" s="8"/>
      <c r="O26" s="8"/>
      <c r="P26" s="8"/>
      <c r="Q26" s="8"/>
      <c r="R26" s="8"/>
      <c r="S26" s="76"/>
    </row>
    <row r="27" spans="1:19" s="2" customFormat="1" ht="36.75" customHeight="1">
      <c r="A27" s="937"/>
      <c r="B27" s="57" t="s">
        <v>53</v>
      </c>
      <c r="C27" s="31"/>
      <c r="D27" s="32"/>
      <c r="E27" s="33"/>
      <c r="F27" s="52"/>
      <c r="G27" s="8"/>
      <c r="H27" s="8"/>
      <c r="I27" s="8"/>
      <c r="J27" s="8"/>
      <c r="K27" s="8"/>
      <c r="L27" s="76"/>
      <c r="M27" s="52"/>
      <c r="N27" s="8"/>
      <c r="O27" s="8"/>
      <c r="P27" s="8"/>
      <c r="Q27" s="8"/>
      <c r="R27" s="8"/>
      <c r="S27" s="76"/>
    </row>
    <row r="28" spans="1:19" s="66" customFormat="1" ht="36.75" customHeight="1">
      <c r="A28" s="937"/>
      <c r="B28" s="57" t="s">
        <v>66</v>
      </c>
      <c r="C28" s="31"/>
      <c r="D28" s="32"/>
      <c r="E28" s="33"/>
      <c r="F28" s="64"/>
      <c r="G28" s="65"/>
      <c r="H28" s="65"/>
      <c r="I28" s="65"/>
      <c r="J28" s="65"/>
      <c r="K28" s="65"/>
      <c r="L28" s="76"/>
      <c r="M28" s="64"/>
      <c r="N28" s="65"/>
      <c r="O28" s="65"/>
      <c r="P28" s="65"/>
      <c r="Q28" s="65"/>
      <c r="R28" s="65"/>
      <c r="S28" s="76"/>
    </row>
    <row r="29" spans="1:19" s="2" customFormat="1" ht="36.75" customHeight="1" thickBot="1">
      <c r="A29" s="937"/>
      <c r="B29" s="62" t="s">
        <v>54</v>
      </c>
      <c r="C29" s="44"/>
      <c r="D29" s="45"/>
      <c r="E29" s="46"/>
      <c r="F29" s="53"/>
      <c r="G29" s="9"/>
      <c r="H29" s="9"/>
      <c r="I29" s="10"/>
      <c r="J29" s="10"/>
      <c r="K29" s="9"/>
      <c r="L29" s="77"/>
      <c r="M29" s="53"/>
      <c r="N29" s="9"/>
      <c r="O29" s="9"/>
      <c r="P29" s="9"/>
      <c r="Q29" s="9"/>
      <c r="R29" s="9"/>
      <c r="S29" s="77"/>
    </row>
    <row r="30" spans="1:19" s="2" customFormat="1" ht="36.75" customHeight="1">
      <c r="A30" s="936" t="s">
        <v>12</v>
      </c>
      <c r="B30" s="59" t="s">
        <v>55</v>
      </c>
      <c r="C30" s="25"/>
      <c r="D30" s="26"/>
      <c r="E30" s="27"/>
      <c r="F30" s="55"/>
      <c r="G30" s="11"/>
      <c r="H30" s="11"/>
      <c r="I30" s="21"/>
      <c r="J30" s="11"/>
      <c r="K30" s="17"/>
      <c r="L30" s="75"/>
      <c r="M30" s="55"/>
      <c r="N30" s="11"/>
      <c r="O30" s="11"/>
      <c r="P30" s="11"/>
      <c r="Q30" s="11"/>
      <c r="R30" s="17"/>
      <c r="S30" s="75"/>
    </row>
    <row r="31" spans="1:19" s="2" customFormat="1" ht="36.75" customHeight="1">
      <c r="A31" s="937"/>
      <c r="B31" s="57" t="s">
        <v>56</v>
      </c>
      <c r="C31" s="31"/>
      <c r="D31" s="32"/>
      <c r="E31" s="33"/>
      <c r="F31" s="52"/>
      <c r="G31" s="8"/>
      <c r="H31" s="8"/>
      <c r="I31" s="8"/>
      <c r="J31" s="8"/>
      <c r="K31" s="8"/>
      <c r="L31" s="76"/>
      <c r="M31" s="52"/>
      <c r="N31" s="8"/>
      <c r="O31" s="8"/>
      <c r="P31" s="8"/>
      <c r="Q31" s="8"/>
      <c r="R31" s="8"/>
      <c r="S31" s="76"/>
    </row>
    <row r="32" spans="1:19" s="2" customFormat="1" ht="42.75">
      <c r="A32" s="937"/>
      <c r="B32" s="57" t="s">
        <v>57</v>
      </c>
      <c r="C32" s="31"/>
      <c r="D32" s="32"/>
      <c r="E32" s="33"/>
      <c r="F32" s="52"/>
      <c r="G32" s="8"/>
      <c r="H32" s="8"/>
      <c r="I32" s="8"/>
      <c r="J32" s="8"/>
      <c r="K32" s="8"/>
      <c r="L32" s="76"/>
      <c r="M32" s="52"/>
      <c r="N32" s="8"/>
      <c r="O32" s="8"/>
      <c r="P32" s="8"/>
      <c r="Q32" s="8"/>
      <c r="R32" s="8"/>
      <c r="S32" s="76"/>
    </row>
    <row r="33" spans="1:19" s="2" customFormat="1" ht="36.75" customHeight="1">
      <c r="A33" s="937"/>
      <c r="B33" s="73" t="s">
        <v>29</v>
      </c>
      <c r="C33" s="31"/>
      <c r="D33" s="45"/>
      <c r="E33" s="33"/>
      <c r="F33" s="52"/>
      <c r="G33" s="8"/>
      <c r="H33" s="8"/>
      <c r="I33" s="8"/>
      <c r="J33" s="8"/>
      <c r="K33" s="8"/>
      <c r="L33" s="76"/>
      <c r="M33" s="52"/>
      <c r="N33" s="8"/>
      <c r="O33" s="8"/>
      <c r="P33" s="8"/>
      <c r="Q33" s="8"/>
      <c r="R33" s="8"/>
      <c r="S33" s="76"/>
    </row>
    <row r="34" spans="1:19" s="2" customFormat="1" ht="42.75">
      <c r="A34" s="937"/>
      <c r="B34" s="73" t="s">
        <v>58</v>
      </c>
      <c r="C34" s="31"/>
      <c r="D34" s="45"/>
      <c r="E34" s="33"/>
      <c r="F34" s="52"/>
      <c r="G34" s="8"/>
      <c r="H34" s="8"/>
      <c r="I34" s="8"/>
      <c r="J34" s="8"/>
      <c r="K34" s="8"/>
      <c r="L34" s="76"/>
      <c r="M34" s="52"/>
      <c r="N34" s="8"/>
      <c r="O34" s="8"/>
      <c r="P34" s="8"/>
      <c r="Q34" s="8"/>
      <c r="R34" s="8"/>
      <c r="S34" s="76"/>
    </row>
    <row r="35" spans="1:19" s="2" customFormat="1" ht="36.75" customHeight="1" thickBot="1">
      <c r="A35" s="937"/>
      <c r="B35" s="63" t="s">
        <v>59</v>
      </c>
      <c r="C35" s="31"/>
      <c r="D35" s="45"/>
      <c r="E35" s="33"/>
      <c r="F35" s="52"/>
      <c r="G35" s="8"/>
      <c r="H35" s="8"/>
      <c r="I35" s="8"/>
      <c r="J35" s="8"/>
      <c r="K35" s="8"/>
      <c r="L35" s="76"/>
      <c r="M35" s="52"/>
      <c r="N35" s="8"/>
      <c r="O35" s="8"/>
      <c r="P35" s="8"/>
      <c r="Q35" s="8"/>
      <c r="R35" s="8"/>
      <c r="S35" s="76"/>
    </row>
    <row r="36" spans="1:19" s="2" customFormat="1" ht="36.75" customHeight="1" thickBot="1">
      <c r="A36" s="938"/>
      <c r="B36" s="60" t="s">
        <v>60</v>
      </c>
      <c r="C36" s="41"/>
      <c r="D36" s="47"/>
      <c r="E36" s="43"/>
      <c r="F36" s="54"/>
      <c r="G36" s="10"/>
      <c r="H36" s="10"/>
      <c r="I36" s="10"/>
      <c r="J36" s="10"/>
      <c r="K36" s="10"/>
      <c r="L36" s="78"/>
      <c r="M36" s="54"/>
      <c r="N36" s="10"/>
      <c r="O36" s="10"/>
      <c r="P36" s="10"/>
      <c r="Q36" s="10"/>
      <c r="R36" s="10"/>
      <c r="S36" s="78"/>
    </row>
    <row r="37" spans="1:19" s="2" customFormat="1" ht="36.75" customHeight="1">
      <c r="A37" s="937" t="s">
        <v>8</v>
      </c>
      <c r="B37" s="61" t="s">
        <v>10</v>
      </c>
      <c r="C37" s="25"/>
      <c r="D37" s="29"/>
      <c r="E37" s="30"/>
      <c r="F37" s="16"/>
      <c r="G37" s="15"/>
      <c r="H37" s="12"/>
      <c r="I37" s="12"/>
      <c r="J37" s="15"/>
      <c r="K37" s="15"/>
      <c r="L37" s="79"/>
      <c r="M37" s="16"/>
      <c r="N37" s="15"/>
      <c r="O37" s="15"/>
      <c r="P37" s="12"/>
      <c r="Q37" s="12"/>
      <c r="R37" s="12"/>
      <c r="S37" s="79"/>
    </row>
    <row r="38" spans="1:19" s="2" customFormat="1" ht="36.75" customHeight="1">
      <c r="A38" s="937"/>
      <c r="B38" s="61" t="s">
        <v>13</v>
      </c>
      <c r="C38" s="28"/>
      <c r="D38" s="29"/>
      <c r="E38" s="30"/>
      <c r="F38" s="16"/>
      <c r="G38" s="12"/>
      <c r="H38" s="12"/>
      <c r="I38" s="12"/>
      <c r="J38" s="12"/>
      <c r="K38" s="12"/>
      <c r="L38" s="79"/>
      <c r="M38" s="16"/>
      <c r="N38" s="12"/>
      <c r="O38" s="12"/>
      <c r="P38" s="12"/>
      <c r="Q38" s="12"/>
      <c r="R38" s="12"/>
      <c r="S38" s="79"/>
    </row>
    <row r="39" spans="1:19" s="2" customFormat="1" ht="36.75" customHeight="1">
      <c r="A39" s="937"/>
      <c r="B39" s="57" t="s">
        <v>23</v>
      </c>
      <c r="C39" s="31"/>
      <c r="D39" s="32"/>
      <c r="E39" s="33"/>
      <c r="F39" s="56"/>
      <c r="G39" s="5"/>
      <c r="H39" s="5"/>
      <c r="I39" s="5"/>
      <c r="J39" s="5"/>
      <c r="K39" s="5"/>
      <c r="L39" s="76"/>
      <c r="M39" s="56"/>
      <c r="N39" s="5"/>
      <c r="O39" s="5"/>
      <c r="P39" s="5"/>
      <c r="Q39" s="5"/>
      <c r="R39" s="5"/>
      <c r="S39" s="76"/>
    </row>
    <row r="40" spans="1:19" s="2" customFormat="1" ht="36.75" customHeight="1" thickBot="1">
      <c r="A40" s="938"/>
      <c r="B40" s="60" t="s">
        <v>11</v>
      </c>
      <c r="C40" s="41"/>
      <c r="D40" s="48"/>
      <c r="E40" s="49"/>
      <c r="F40" s="22"/>
      <c r="G40" s="13"/>
      <c r="H40" s="13"/>
      <c r="I40" s="13"/>
      <c r="J40" s="13"/>
      <c r="K40" s="13"/>
      <c r="L40" s="78"/>
      <c r="M40" s="22"/>
      <c r="N40" s="18"/>
      <c r="O40" s="13"/>
      <c r="P40" s="13"/>
      <c r="Q40" s="13"/>
      <c r="R40" s="13"/>
      <c r="S40" s="78"/>
    </row>
    <row r="41" spans="1:19" s="2" customFormat="1" ht="36.75" customHeight="1">
      <c r="A41" s="936" t="s">
        <v>9</v>
      </c>
      <c r="B41" s="59" t="s">
        <v>61</v>
      </c>
      <c r="C41" s="25"/>
      <c r="D41" s="26"/>
      <c r="E41" s="27"/>
      <c r="F41" s="20"/>
      <c r="G41" s="1"/>
      <c r="H41" s="1"/>
      <c r="I41" s="1"/>
      <c r="J41" s="1"/>
      <c r="K41" s="19"/>
      <c r="L41" s="75"/>
      <c r="M41" s="20"/>
      <c r="N41" s="19"/>
      <c r="O41" s="19"/>
      <c r="P41" s="1"/>
      <c r="Q41" s="1"/>
      <c r="R41" s="1"/>
      <c r="S41" s="75"/>
    </row>
    <row r="42" spans="1:19" s="2" customFormat="1" ht="36.75" customHeight="1">
      <c r="A42" s="937"/>
      <c r="B42" s="57" t="s">
        <v>62</v>
      </c>
      <c r="C42" s="31"/>
      <c r="D42" s="32"/>
      <c r="E42" s="33"/>
      <c r="F42" s="56"/>
      <c r="G42" s="5"/>
      <c r="H42" s="5"/>
      <c r="I42" s="5"/>
      <c r="J42" s="5"/>
      <c r="K42" s="5"/>
      <c r="L42" s="76"/>
      <c r="M42" s="56"/>
      <c r="N42" s="5"/>
      <c r="O42" s="5"/>
      <c r="P42" s="5"/>
      <c r="Q42" s="5"/>
      <c r="R42" s="5"/>
      <c r="S42" s="76"/>
    </row>
    <row r="43" spans="1:19" s="2" customFormat="1" ht="36.75" customHeight="1" thickBot="1">
      <c r="A43" s="938"/>
      <c r="B43" s="60" t="s">
        <v>63</v>
      </c>
      <c r="C43" s="41"/>
      <c r="D43" s="48"/>
      <c r="E43" s="49"/>
      <c r="F43" s="22"/>
      <c r="G43" s="13"/>
      <c r="H43" s="13"/>
      <c r="I43" s="13"/>
      <c r="J43" s="13"/>
      <c r="K43" s="13"/>
      <c r="L43" s="78"/>
      <c r="M43" s="22"/>
      <c r="N43" s="13"/>
      <c r="O43" s="13"/>
      <c r="P43" s="13"/>
      <c r="Q43" s="13"/>
      <c r="R43" s="13"/>
      <c r="S43" s="78"/>
    </row>
    <row r="44" spans="1:19" s="69" customFormat="1" ht="36.75" customHeight="1">
      <c r="A44" s="936" t="s">
        <v>22</v>
      </c>
      <c r="B44" s="59" t="s">
        <v>64</v>
      </c>
      <c r="C44" s="25"/>
      <c r="D44" s="26"/>
      <c r="E44" s="27"/>
      <c r="F44" s="20"/>
      <c r="G44" s="1"/>
      <c r="H44" s="19"/>
      <c r="I44" s="19"/>
      <c r="J44" s="1"/>
      <c r="K44" s="19"/>
      <c r="L44" s="75"/>
      <c r="M44" s="20"/>
      <c r="N44" s="1"/>
      <c r="O44" s="1"/>
      <c r="P44" s="1"/>
      <c r="Q44" s="1"/>
      <c r="R44" s="19"/>
      <c r="S44" s="75"/>
    </row>
    <row r="45" spans="1:19" s="69" customFormat="1" ht="36.75" customHeight="1" thickBot="1">
      <c r="A45" s="938"/>
      <c r="B45" s="60" t="s">
        <v>65</v>
      </c>
      <c r="C45" s="41"/>
      <c r="D45" s="48"/>
      <c r="E45" s="49"/>
      <c r="F45" s="22"/>
      <c r="G45" s="13"/>
      <c r="H45" s="13"/>
      <c r="I45" s="13"/>
      <c r="J45" s="13"/>
      <c r="K45" s="13"/>
      <c r="L45" s="78"/>
      <c r="M45" s="22"/>
      <c r="N45" s="13"/>
      <c r="O45" s="13"/>
      <c r="P45" s="13"/>
      <c r="Q45" s="13"/>
      <c r="R45" s="13"/>
      <c r="S45" s="78"/>
    </row>
    <row r="46" spans="1:19" s="69" customFormat="1" ht="36.75" customHeight="1" thickBot="1">
      <c r="A46" s="945" t="s">
        <v>14</v>
      </c>
      <c r="B46" s="946"/>
      <c r="C46" s="83"/>
      <c r="D46" s="84"/>
      <c r="E46" s="85"/>
      <c r="F46" s="86"/>
      <c r="G46" s="87"/>
      <c r="H46" s="88"/>
      <c r="I46" s="87"/>
      <c r="J46" s="87"/>
      <c r="K46" s="88"/>
      <c r="L46" s="82"/>
      <c r="M46" s="86"/>
      <c r="N46" s="88"/>
      <c r="O46" s="88"/>
      <c r="P46" s="88"/>
      <c r="Q46" s="87"/>
      <c r="R46" s="87"/>
      <c r="S46" s="82"/>
    </row>
    <row r="47" spans="1:19" ht="12.75">
      <c r="A47" s="23" t="s">
        <v>21</v>
      </c>
      <c r="B47" s="70"/>
      <c r="C47" s="70"/>
      <c r="D47" s="70"/>
      <c r="E47" s="70"/>
      <c r="F47" s="70"/>
      <c r="G47" s="70"/>
      <c r="H47" s="71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</row>
    <row r="48" ht="12.75">
      <c r="A48" s="24" t="s">
        <v>67</v>
      </c>
    </row>
    <row r="49" spans="1:19" ht="12.75">
      <c r="A49" s="23" t="s">
        <v>69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</row>
    <row r="50" ht="12.75">
      <c r="A50" s="24" t="s">
        <v>24</v>
      </c>
    </row>
  </sheetData>
  <sheetProtection/>
  <mergeCells count="16">
    <mergeCell ref="B2:B3"/>
    <mergeCell ref="C2:C3"/>
    <mergeCell ref="A46:B46"/>
    <mergeCell ref="A41:A43"/>
    <mergeCell ref="A37:A40"/>
    <mergeCell ref="A44:A45"/>
    <mergeCell ref="A1:S1"/>
    <mergeCell ref="A14:A22"/>
    <mergeCell ref="A23:A29"/>
    <mergeCell ref="A30:A36"/>
    <mergeCell ref="E2:E3"/>
    <mergeCell ref="M2:S2"/>
    <mergeCell ref="A2:A3"/>
    <mergeCell ref="F2:L2"/>
    <mergeCell ref="A4:A13"/>
    <mergeCell ref="D2:D3"/>
  </mergeCells>
  <printOptions horizontalCentered="1"/>
  <pageMargins left="0.15748031496062992" right="0.15748031496062992" top="0.31496062992125984" bottom="0.35433070866141736" header="0.15748031496062992" footer="0.15748031496062992"/>
  <pageSetup fitToHeight="1" fitToWidth="1" horizontalDpi="600" verticalDpi="600" orientation="landscape" paperSize="9" scale="30" r:id="rId1"/>
  <rowBreaks count="2" manualBreakCount="2">
    <brk id="22" max="255" man="1"/>
    <brk id="36" max="255" man="1"/>
  </rowBreaks>
  <colBreaks count="2" manualBreakCount="2">
    <brk id="12" max="65535" man="1"/>
    <brk id="4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view="pageLayout" workbookViewId="0" topLeftCell="B1">
      <selection activeCell="K8" sqref="K8"/>
    </sheetView>
  </sheetViews>
  <sheetFormatPr defaultColWidth="9.140625" defaultRowHeight="12.75"/>
  <cols>
    <col min="1" max="1" width="9.00390625" style="592" customWidth="1"/>
    <col min="2" max="2" width="47.28125" style="592" customWidth="1"/>
    <col min="3" max="3" width="14.00390625" style="592" customWidth="1"/>
    <col min="4" max="4" width="11.8515625" style="592" customWidth="1"/>
    <col min="5" max="5" width="23.57421875" style="592" customWidth="1"/>
    <col min="6" max="6" width="19.00390625" style="592" customWidth="1"/>
    <col min="7" max="7" width="14.7109375" style="592" customWidth="1"/>
    <col min="8" max="10" width="15.421875" style="592" bestFit="1" customWidth="1"/>
    <col min="11" max="11" width="16.421875" style="592" bestFit="1" customWidth="1"/>
    <col min="12" max="12" width="14.57421875" style="592" customWidth="1"/>
    <col min="13" max="13" width="14.421875" style="592" bestFit="1" customWidth="1"/>
    <col min="14" max="14" width="16.57421875" style="592" customWidth="1"/>
    <col min="15" max="16384" width="9.140625" style="592" customWidth="1"/>
  </cols>
  <sheetData>
    <row r="1" ht="15.75" thickBot="1">
      <c r="A1" s="591" t="s">
        <v>105</v>
      </c>
    </row>
    <row r="2" spans="1:14" ht="12.75" customHeight="1">
      <c r="A2" s="949" t="s">
        <v>750</v>
      </c>
      <c r="B2" s="949" t="s">
        <v>16</v>
      </c>
      <c r="C2" s="949" t="s">
        <v>88</v>
      </c>
      <c r="D2" s="949" t="s">
        <v>17</v>
      </c>
      <c r="E2" s="949" t="s">
        <v>18</v>
      </c>
      <c r="F2" s="949" t="s">
        <v>26</v>
      </c>
      <c r="G2" s="949" t="s">
        <v>19</v>
      </c>
      <c r="H2" s="951" t="s">
        <v>752</v>
      </c>
      <c r="I2" s="952"/>
      <c r="J2" s="952"/>
      <c r="K2" s="952"/>
      <c r="L2" s="952"/>
      <c r="M2" s="952"/>
      <c r="N2" s="953"/>
    </row>
    <row r="3" spans="1:14" ht="45.75" thickBot="1">
      <c r="A3" s="950"/>
      <c r="B3" s="954"/>
      <c r="C3" s="950"/>
      <c r="D3" s="950"/>
      <c r="E3" s="950"/>
      <c r="F3" s="954"/>
      <c r="G3" s="950"/>
      <c r="H3" s="593" t="s">
        <v>3</v>
      </c>
      <c r="I3" s="594" t="s">
        <v>4</v>
      </c>
      <c r="J3" s="594" t="s">
        <v>5</v>
      </c>
      <c r="K3" s="594" t="s">
        <v>0</v>
      </c>
      <c r="L3" s="594" t="s">
        <v>1</v>
      </c>
      <c r="M3" s="594" t="s">
        <v>2</v>
      </c>
      <c r="N3" s="595" t="s">
        <v>6</v>
      </c>
    </row>
    <row r="4" spans="1:14" ht="15">
      <c r="A4" s="596">
        <v>1</v>
      </c>
      <c r="B4" s="605" t="s">
        <v>751</v>
      </c>
      <c r="C4" s="611" t="s">
        <v>201</v>
      </c>
      <c r="D4" s="600">
        <v>1</v>
      </c>
      <c r="E4" s="602" t="s">
        <v>734</v>
      </c>
      <c r="F4" s="608">
        <f>N4</f>
        <v>44331945.61</v>
      </c>
      <c r="G4" s="612" t="s">
        <v>735</v>
      </c>
      <c r="H4" s="616">
        <f>'T-2_Izvori sredstava'!C152</f>
        <v>0</v>
      </c>
      <c r="I4" s="616">
        <f>'T-2_Izvori sredstava'!D152</f>
        <v>6649791.84</v>
      </c>
      <c r="J4" s="616">
        <f>'T-2_Izvori sredstava'!E152</f>
        <v>0</v>
      </c>
      <c r="K4" s="616">
        <f>'T-2_Izvori sredstava'!F152</f>
        <v>37682153.77</v>
      </c>
      <c r="L4" s="616">
        <f>'T-2_Izvori sredstava'!G152</f>
        <v>0</v>
      </c>
      <c r="M4" s="616">
        <f>'T-2_Izvori sredstava'!H152</f>
        <v>0</v>
      </c>
      <c r="N4" s="618">
        <f>SUM(H4:M4)</f>
        <v>44331945.61</v>
      </c>
    </row>
    <row r="5" spans="1:14" ht="60">
      <c r="A5" s="604">
        <v>2</v>
      </c>
      <c r="B5" s="605" t="s">
        <v>799</v>
      </c>
      <c r="C5" s="611" t="s">
        <v>158</v>
      </c>
      <c r="D5" s="600">
        <v>1</v>
      </c>
      <c r="E5" s="602" t="s">
        <v>736</v>
      </c>
      <c r="F5" s="609">
        <v>12302060.92</v>
      </c>
      <c r="G5" s="613" t="s">
        <v>798</v>
      </c>
      <c r="H5" s="615">
        <v>1476247.31</v>
      </c>
      <c r="I5" s="615">
        <v>369061.83</v>
      </c>
      <c r="J5" s="615">
        <f>'T-2_Izvori sredstava'!E71</f>
        <v>0</v>
      </c>
      <c r="K5" s="615">
        <v>10456751.78</v>
      </c>
      <c r="L5" s="615">
        <f>'T-2_Izvori sredstava'!G71</f>
        <v>0</v>
      </c>
      <c r="M5" s="615">
        <f>'T-2_Izvori sredstava'!H71</f>
        <v>0</v>
      </c>
      <c r="N5" s="618">
        <f aca="true" t="shared" si="0" ref="N5:N14">SUM(H5:M5)</f>
        <v>12302060.92</v>
      </c>
    </row>
    <row r="6" spans="1:14" ht="40.5" customHeight="1">
      <c r="A6" s="604">
        <v>3</v>
      </c>
      <c r="B6" s="606" t="s">
        <v>800</v>
      </c>
      <c r="C6" s="611" t="s">
        <v>127</v>
      </c>
      <c r="D6" s="600">
        <v>1</v>
      </c>
      <c r="E6" s="602" t="s">
        <v>734</v>
      </c>
      <c r="F6" s="609">
        <f aca="true" t="shared" si="1" ref="F6:F14">N6</f>
        <v>35212637.489999995</v>
      </c>
      <c r="G6" s="612" t="s">
        <v>735</v>
      </c>
      <c r="H6" s="615">
        <f>'T-2_Izvori sredstava'!C29</f>
        <v>5939463.57</v>
      </c>
      <c r="I6" s="615">
        <f>'T-2_Izvori sredstava'!D29</f>
        <v>0</v>
      </c>
      <c r="J6" s="615">
        <f>'T-2_Izvori sredstava'!E29</f>
        <v>0</v>
      </c>
      <c r="K6" s="615">
        <f>'T-2_Izvori sredstava'!F29</f>
        <v>29273173.919999998</v>
      </c>
      <c r="L6" s="615">
        <f>'T-2_Izvori sredstava'!G29</f>
        <v>0</v>
      </c>
      <c r="M6" s="615">
        <f>'T-2_Izvori sredstava'!H29</f>
        <v>0</v>
      </c>
      <c r="N6" s="618">
        <f t="shared" si="0"/>
        <v>35212637.489999995</v>
      </c>
    </row>
    <row r="7" spans="1:14" ht="60">
      <c r="A7" s="604">
        <v>4</v>
      </c>
      <c r="B7" s="606" t="s">
        <v>745</v>
      </c>
      <c r="C7" s="611" t="s">
        <v>127</v>
      </c>
      <c r="D7" s="600">
        <v>1</v>
      </c>
      <c r="E7" s="602" t="s">
        <v>734</v>
      </c>
      <c r="F7" s="609">
        <f>N7</f>
        <v>11982571.48</v>
      </c>
      <c r="G7" s="612" t="s">
        <v>735</v>
      </c>
      <c r="H7" s="615">
        <v>0</v>
      </c>
      <c r="I7" s="616">
        <v>0</v>
      </c>
      <c r="J7" s="616">
        <v>0</v>
      </c>
      <c r="K7" s="616">
        <v>11982571.48</v>
      </c>
      <c r="L7" s="617">
        <v>0</v>
      </c>
      <c r="M7" s="617">
        <v>0</v>
      </c>
      <c r="N7" s="618">
        <f t="shared" si="0"/>
        <v>11982571.48</v>
      </c>
    </row>
    <row r="8" spans="1:14" ht="45.75" customHeight="1">
      <c r="A8" s="604">
        <v>5</v>
      </c>
      <c r="B8" s="606" t="s">
        <v>801</v>
      </c>
      <c r="C8" s="611" t="s">
        <v>182</v>
      </c>
      <c r="D8" s="600">
        <v>1</v>
      </c>
      <c r="E8" s="602" t="s">
        <v>746</v>
      </c>
      <c r="F8" s="609">
        <v>64755377.7</v>
      </c>
      <c r="G8" s="612" t="s">
        <v>735</v>
      </c>
      <c r="H8" s="615">
        <v>0</v>
      </c>
      <c r="I8" s="615">
        <v>14755377.7</v>
      </c>
      <c r="J8" s="615" t="e">
        <f>'T-2_Izvori sredstava'!E117+'T-2_Izvori sredstava'!#REF!</f>
        <v>#REF!</v>
      </c>
      <c r="K8" s="615">
        <v>50000000</v>
      </c>
      <c r="L8" s="615" t="e">
        <f>'T-2_Izvori sredstava'!G117+'T-2_Izvori sredstava'!#REF!</f>
        <v>#REF!</v>
      </c>
      <c r="M8" s="615" t="e">
        <f>'T-2_Izvori sredstava'!H117+'T-2_Izvori sredstava'!#REF!</f>
        <v>#REF!</v>
      </c>
      <c r="N8" s="618" t="e">
        <f t="shared" si="0"/>
        <v>#REF!</v>
      </c>
    </row>
    <row r="9" spans="1:14" ht="15">
      <c r="A9" s="604">
        <v>6</v>
      </c>
      <c r="B9" s="605" t="s">
        <v>737</v>
      </c>
      <c r="C9" s="611" t="s">
        <v>158</v>
      </c>
      <c r="D9" s="600">
        <v>3</v>
      </c>
      <c r="E9" s="602" t="s">
        <v>734</v>
      </c>
      <c r="F9" s="689">
        <v>2840000</v>
      </c>
      <c r="G9" s="612" t="s">
        <v>738</v>
      </c>
      <c r="H9" s="615">
        <v>349500</v>
      </c>
      <c r="I9" s="615">
        <v>240000</v>
      </c>
      <c r="J9" s="615">
        <f>'T-2_Izvori sredstava'!E72</f>
        <v>40500</v>
      </c>
      <c r="K9" s="615">
        <v>2210000</v>
      </c>
      <c r="L9" s="615">
        <f>'T-2_Izvori sredstava'!G72</f>
        <v>0</v>
      </c>
      <c r="M9" s="615">
        <f>'T-2_Izvori sredstava'!H72</f>
        <v>0</v>
      </c>
      <c r="N9" s="618">
        <f t="shared" si="0"/>
        <v>2840000</v>
      </c>
    </row>
    <row r="10" spans="1:14" ht="30">
      <c r="A10" s="604">
        <v>7</v>
      </c>
      <c r="B10" s="605" t="s">
        <v>739</v>
      </c>
      <c r="C10" s="611" t="s">
        <v>173</v>
      </c>
      <c r="D10" s="600">
        <v>1</v>
      </c>
      <c r="E10" s="602" t="s">
        <v>740</v>
      </c>
      <c r="F10" s="609">
        <f t="shared" si="1"/>
        <v>9000000</v>
      </c>
      <c r="G10" s="612" t="s">
        <v>741</v>
      </c>
      <c r="H10" s="615">
        <f>'T-2_Izvori sredstava'!C91</f>
        <v>1000000</v>
      </c>
      <c r="I10" s="615">
        <f>'T-2_Izvori sredstava'!D91</f>
        <v>1000000</v>
      </c>
      <c r="J10" s="615">
        <f>'T-2_Izvori sredstava'!E91</f>
        <v>7000000</v>
      </c>
      <c r="K10" s="615">
        <f>'T-2_Izvori sredstava'!F91</f>
        <v>0</v>
      </c>
      <c r="L10" s="615">
        <f>'T-2_Izvori sredstava'!G91</f>
        <v>0</v>
      </c>
      <c r="M10" s="615">
        <f>'T-2_Izvori sredstava'!H91</f>
        <v>0</v>
      </c>
      <c r="N10" s="618">
        <f t="shared" si="0"/>
        <v>9000000</v>
      </c>
    </row>
    <row r="11" spans="1:14" ht="30">
      <c r="A11" s="604">
        <v>8</v>
      </c>
      <c r="B11" s="605" t="s">
        <v>748</v>
      </c>
      <c r="C11" s="611" t="s">
        <v>173</v>
      </c>
      <c r="D11" s="600">
        <v>1</v>
      </c>
      <c r="E11" s="602" t="s">
        <v>742</v>
      </c>
      <c r="F11" s="609">
        <f t="shared" si="1"/>
        <v>7000000</v>
      </c>
      <c r="G11" s="612" t="s">
        <v>754</v>
      </c>
      <c r="H11" s="615">
        <f>'T-2_Izvori sredstava'!C92</f>
        <v>1000000</v>
      </c>
      <c r="I11" s="615">
        <f>'T-2_Izvori sredstava'!D92</f>
        <v>1000000</v>
      </c>
      <c r="J11" s="615">
        <f>'T-2_Izvori sredstava'!E92</f>
        <v>5000000</v>
      </c>
      <c r="K11" s="615">
        <f>'T-2_Izvori sredstava'!F92</f>
        <v>0</v>
      </c>
      <c r="L11" s="615">
        <f>'T-2_Izvori sredstava'!G92</f>
        <v>0</v>
      </c>
      <c r="M11" s="615">
        <f>'T-2_Izvori sredstava'!H92</f>
        <v>0</v>
      </c>
      <c r="N11" s="618">
        <f t="shared" si="0"/>
        <v>7000000</v>
      </c>
    </row>
    <row r="12" spans="1:14" ht="15">
      <c r="A12" s="604">
        <v>9</v>
      </c>
      <c r="B12" s="605" t="s">
        <v>749</v>
      </c>
      <c r="C12" s="611" t="s">
        <v>173</v>
      </c>
      <c r="D12" s="600">
        <v>1</v>
      </c>
      <c r="E12" s="602" t="s">
        <v>734</v>
      </c>
      <c r="F12" s="609">
        <f t="shared" si="1"/>
        <v>9394000</v>
      </c>
      <c r="G12" s="612" t="s">
        <v>755</v>
      </c>
      <c r="H12" s="615">
        <f>'T-2_Izvori sredstava'!C93</f>
        <v>0</v>
      </c>
      <c r="I12" s="615">
        <f>'T-2_Izvori sredstava'!D93</f>
        <v>9394000</v>
      </c>
      <c r="J12" s="615">
        <f>'T-2_Izvori sredstava'!E93</f>
        <v>0</v>
      </c>
      <c r="K12" s="615">
        <f>'T-2_Izvori sredstava'!F93</f>
        <v>0</v>
      </c>
      <c r="L12" s="615">
        <f>'T-2_Izvori sredstava'!G93</f>
        <v>0</v>
      </c>
      <c r="M12" s="615">
        <f>'T-2_Izvori sredstava'!H93</f>
        <v>0</v>
      </c>
      <c r="N12" s="618">
        <f t="shared" si="0"/>
        <v>9394000</v>
      </c>
    </row>
    <row r="13" spans="1:14" s="591" customFormat="1" ht="45">
      <c r="A13" s="604">
        <v>10</v>
      </c>
      <c r="B13" s="606" t="s">
        <v>756</v>
      </c>
      <c r="C13" s="611" t="s">
        <v>212</v>
      </c>
      <c r="D13" s="600">
        <v>1</v>
      </c>
      <c r="E13" s="602" t="s">
        <v>747</v>
      </c>
      <c r="F13" s="609">
        <f t="shared" si="1"/>
        <v>169057300</v>
      </c>
      <c r="G13" s="613" t="s">
        <v>743</v>
      </c>
      <c r="H13" s="615">
        <f>'T-2_Izvori sredstava'!C164</f>
        <v>25358595</v>
      </c>
      <c r="I13" s="615">
        <f>'T-2_Izvori sredstava'!D164</f>
        <v>0</v>
      </c>
      <c r="J13" s="615">
        <f>'T-2_Izvori sredstava'!E164</f>
        <v>10143438</v>
      </c>
      <c r="K13" s="615">
        <f>'T-2_Izvori sredstava'!F164</f>
        <v>121771973</v>
      </c>
      <c r="L13" s="615">
        <f>'T-2_Izvori sredstava'!G164</f>
        <v>8452865</v>
      </c>
      <c r="M13" s="615">
        <f>'T-2_Izvori sredstava'!H164</f>
        <v>3330429</v>
      </c>
      <c r="N13" s="618">
        <f t="shared" si="0"/>
        <v>169057300</v>
      </c>
    </row>
    <row r="14" spans="1:14" s="591" customFormat="1" ht="30">
      <c r="A14" s="604">
        <v>11</v>
      </c>
      <c r="B14" s="607" t="s">
        <v>802</v>
      </c>
      <c r="C14" s="619" t="s">
        <v>212</v>
      </c>
      <c r="D14" s="601">
        <v>1</v>
      </c>
      <c r="E14" s="603" t="s">
        <v>747</v>
      </c>
      <c r="F14" s="609">
        <f t="shared" si="1"/>
        <v>179873000</v>
      </c>
      <c r="G14" s="614" t="s">
        <v>744</v>
      </c>
      <c r="H14" s="615">
        <f>'T-2_Izvori sredstava'!C165</f>
        <v>50400414.6</v>
      </c>
      <c r="I14" s="615">
        <f>'T-2_Izvori sredstava'!D165</f>
        <v>0</v>
      </c>
      <c r="J14" s="615">
        <f>'T-2_Izvori sredstava'!E165</f>
        <v>0</v>
      </c>
      <c r="K14" s="615">
        <f>'T-2_Izvori sredstava'!F165</f>
        <v>129472585.4</v>
      </c>
      <c r="L14" s="615">
        <f>'T-2_Izvori sredstava'!G165</f>
        <v>0</v>
      </c>
      <c r="M14" s="615">
        <f>'T-2_Izvori sredstava'!H165</f>
        <v>0</v>
      </c>
      <c r="N14" s="618">
        <f t="shared" si="0"/>
        <v>179873000</v>
      </c>
    </row>
    <row r="15" spans="1:14" s="591" customFormat="1" ht="17.25" customHeight="1" thickBot="1">
      <c r="A15" s="597" t="s">
        <v>15</v>
      </c>
      <c r="B15" s="598"/>
      <c r="C15" s="599"/>
      <c r="D15" s="599"/>
      <c r="E15" s="599"/>
      <c r="F15" s="620">
        <f>SUM(F4:F14)</f>
        <v>545748893.2</v>
      </c>
      <c r="G15" s="599"/>
      <c r="H15" s="610">
        <f aca="true" t="shared" si="2" ref="H15:N15">SUM(H4:H14)</f>
        <v>85524220.48</v>
      </c>
      <c r="I15" s="610">
        <f t="shared" si="2"/>
        <v>33408231.369999997</v>
      </c>
      <c r="J15" s="610" t="e">
        <f t="shared" si="2"/>
        <v>#REF!</v>
      </c>
      <c r="K15" s="610">
        <f t="shared" si="2"/>
        <v>392849209.35</v>
      </c>
      <c r="L15" s="610" t="e">
        <f t="shared" si="2"/>
        <v>#REF!</v>
      </c>
      <c r="M15" s="610" t="e">
        <f t="shared" si="2"/>
        <v>#REF!</v>
      </c>
      <c r="N15" s="610" t="e">
        <f t="shared" si="2"/>
        <v>#REF!</v>
      </c>
    </row>
    <row r="16" s="591" customFormat="1" ht="12.75" customHeight="1">
      <c r="B16" s="591" t="s">
        <v>20</v>
      </c>
    </row>
    <row r="17" spans="1:14" ht="15">
      <c r="A17" s="591"/>
      <c r="B17" s="591" t="s">
        <v>89</v>
      </c>
      <c r="C17" s="591"/>
      <c r="D17" s="591"/>
      <c r="E17" s="591"/>
      <c r="F17" s="591"/>
      <c r="G17" s="591"/>
      <c r="H17" s="591"/>
      <c r="I17" s="591"/>
      <c r="J17" s="591"/>
      <c r="K17" s="591"/>
      <c r="L17" s="591"/>
      <c r="M17" s="591"/>
      <c r="N17" s="591"/>
    </row>
    <row r="18" spans="1:14" ht="15">
      <c r="A18" s="591"/>
      <c r="B18" s="947" t="s">
        <v>81</v>
      </c>
      <c r="C18" s="948"/>
      <c r="D18" s="948"/>
      <c r="E18" s="948"/>
      <c r="F18" s="591"/>
      <c r="G18" s="591"/>
      <c r="H18" s="591"/>
      <c r="I18" s="591"/>
      <c r="J18" s="591"/>
      <c r="K18" s="591"/>
      <c r="L18" s="591"/>
      <c r="M18" s="591"/>
      <c r="N18" s="591"/>
    </row>
    <row r="19" spans="1:14" ht="15">
      <c r="A19" s="591"/>
      <c r="B19" s="948"/>
      <c r="C19" s="948"/>
      <c r="D19" s="948"/>
      <c r="E19" s="948"/>
      <c r="F19" s="591"/>
      <c r="G19" s="591"/>
      <c r="H19" s="591"/>
      <c r="I19" s="591"/>
      <c r="J19" s="591"/>
      <c r="K19" s="591"/>
      <c r="L19" s="591"/>
      <c r="M19" s="591"/>
      <c r="N19" s="591"/>
    </row>
  </sheetData>
  <sheetProtection/>
  <mergeCells count="9">
    <mergeCell ref="B18:E19"/>
    <mergeCell ref="A2:A3"/>
    <mergeCell ref="H2:N2"/>
    <mergeCell ref="B2:B3"/>
    <mergeCell ref="C2:C3"/>
    <mergeCell ref="D2:D3"/>
    <mergeCell ref="E2:E3"/>
    <mergeCell ref="F2:F3"/>
    <mergeCell ref="G2:G3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4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9.140625" style="153" customWidth="1"/>
    <col min="2" max="2" width="51.7109375" style="153" customWidth="1"/>
    <col min="3" max="6" width="15.7109375" style="153" bestFit="1" customWidth="1"/>
    <col min="7" max="8" width="14.7109375" style="153" bestFit="1" customWidth="1"/>
    <col min="9" max="9" width="17.28125" style="153" bestFit="1" customWidth="1"/>
    <col min="10" max="16384" width="9.140625" style="153" customWidth="1"/>
  </cols>
  <sheetData>
    <row r="2" ht="12.75">
      <c r="B2" s="154" t="s">
        <v>619</v>
      </c>
    </row>
    <row r="4" spans="1:9" ht="15">
      <c r="A4" s="957"/>
      <c r="B4" s="956" t="s">
        <v>618</v>
      </c>
      <c r="C4" s="955" t="s">
        <v>620</v>
      </c>
      <c r="D4" s="955"/>
      <c r="E4" s="955"/>
      <c r="F4" s="955"/>
      <c r="G4" s="955"/>
      <c r="H4" s="955"/>
      <c r="I4" s="955"/>
    </row>
    <row r="5" spans="1:9" ht="38.25">
      <c r="A5" s="957"/>
      <c r="B5" s="956"/>
      <c r="C5" s="158" t="s">
        <v>3</v>
      </c>
      <c r="D5" s="158" t="s">
        <v>4</v>
      </c>
      <c r="E5" s="158" t="s">
        <v>5</v>
      </c>
      <c r="F5" s="158" t="s">
        <v>0</v>
      </c>
      <c r="G5" s="158" t="s">
        <v>1</v>
      </c>
      <c r="H5" s="158" t="s">
        <v>2</v>
      </c>
      <c r="I5" s="158" t="s">
        <v>15</v>
      </c>
    </row>
    <row r="6" spans="2:9" ht="12.75">
      <c r="B6" s="175" t="s">
        <v>621</v>
      </c>
      <c r="C6" s="174">
        <f>SUM(C7:C11)</f>
        <v>16202438.940500002</v>
      </c>
      <c r="D6" s="174">
        <f aca="true" t="shared" si="0" ref="D6:I6">SUM(D7:D11)</f>
        <v>20926240.4128</v>
      </c>
      <c r="E6" s="174">
        <f t="shared" si="0"/>
        <v>9243955.0002</v>
      </c>
      <c r="F6" s="174">
        <f t="shared" si="0"/>
        <v>123544289.2765</v>
      </c>
      <c r="G6" s="174">
        <f t="shared" si="0"/>
        <v>446000</v>
      </c>
      <c r="H6" s="174">
        <f t="shared" si="0"/>
        <v>4223096</v>
      </c>
      <c r="I6" s="174">
        <f t="shared" si="0"/>
        <v>174586019.63</v>
      </c>
    </row>
    <row r="7" spans="2:9" ht="25.5">
      <c r="B7" s="176" t="s">
        <v>622</v>
      </c>
      <c r="C7" s="160">
        <f>'T-2_Izvori sredstava'!C5</f>
        <v>1337083.93</v>
      </c>
      <c r="D7" s="160">
        <f>'T-2_Izvori sredstava'!D5</f>
        <v>11172140.74</v>
      </c>
      <c r="E7" s="160">
        <f>'T-2_Izvori sredstava'!E5</f>
        <v>4606350</v>
      </c>
      <c r="F7" s="160">
        <f>'T-2_Izvori sredstava'!F5</f>
        <v>39079933.83</v>
      </c>
      <c r="G7" s="160">
        <f>'T-2_Izvori sredstava'!G5</f>
        <v>0</v>
      </c>
      <c r="H7" s="160">
        <f>'T-2_Izvori sredstava'!H5</f>
        <v>2537000</v>
      </c>
      <c r="I7" s="161">
        <f>SUM(C7:H7)</f>
        <v>58732508.5</v>
      </c>
    </row>
    <row r="8" spans="2:9" ht="25.5">
      <c r="B8" s="176" t="s">
        <v>623</v>
      </c>
      <c r="C8" s="160">
        <f>'T-2_Izvori sredstava'!C26</f>
        <v>7736849.292</v>
      </c>
      <c r="D8" s="160">
        <f>'T-2_Izvori sredstava'!D26</f>
        <v>25735.05</v>
      </c>
      <c r="E8" s="160">
        <f>'T-2_Izvori sredstava'!E26</f>
        <v>0</v>
      </c>
      <c r="F8" s="160">
        <f>'T-2_Izvori sredstava'!F26</f>
        <v>39733289.067999996</v>
      </c>
      <c r="G8" s="160">
        <f>'T-2_Izvori sredstava'!G26</f>
        <v>0</v>
      </c>
      <c r="H8" s="160">
        <f>'T-2_Izvori sredstava'!H26</f>
        <v>0</v>
      </c>
      <c r="I8" s="161">
        <f aca="true" t="shared" si="1" ref="I8:I22">SUM(C8:H8)</f>
        <v>47495873.41</v>
      </c>
    </row>
    <row r="9" spans="2:9" ht="12.75">
      <c r="B9" s="176" t="s">
        <v>624</v>
      </c>
      <c r="C9" s="160">
        <f>'T-2_Izvori sredstava'!C32</f>
        <v>58965</v>
      </c>
      <c r="D9" s="160">
        <f>'T-2_Izvori sredstava'!D32</f>
        <v>772195</v>
      </c>
      <c r="E9" s="160">
        <f>'T-2_Izvori sredstava'!E32</f>
        <v>0</v>
      </c>
      <c r="F9" s="160">
        <f>'T-2_Izvori sredstava'!F32</f>
        <v>240620</v>
      </c>
      <c r="G9" s="160">
        <f>'T-2_Izvori sredstava'!G32</f>
        <v>0</v>
      </c>
      <c r="H9" s="160">
        <f>'T-2_Izvori sredstava'!H32</f>
        <v>127020</v>
      </c>
      <c r="I9" s="161">
        <f t="shared" si="1"/>
        <v>1198800</v>
      </c>
    </row>
    <row r="10" spans="2:9" ht="25.5">
      <c r="B10" s="176" t="s">
        <v>625</v>
      </c>
      <c r="C10" s="160"/>
      <c r="D10" s="160">
        <f>'T-2_Izvori sredstava'!D38</f>
        <v>4595908.84</v>
      </c>
      <c r="E10" s="160">
        <f>'T-2_Izvori sredstava'!E38</f>
        <v>2548105</v>
      </c>
      <c r="F10" s="160">
        <f>'T-2_Izvori sredstava'!F38</f>
        <v>13682404.55</v>
      </c>
      <c r="G10" s="160">
        <f>'T-2_Izvori sredstava'!G38</f>
        <v>240000</v>
      </c>
      <c r="H10" s="160">
        <f>'T-2_Izvori sredstava'!H38</f>
        <v>764276</v>
      </c>
      <c r="I10" s="161">
        <f t="shared" si="1"/>
        <v>21830694.39</v>
      </c>
    </row>
    <row r="11" spans="2:9" ht="25.5">
      <c r="B11" s="176" t="s">
        <v>626</v>
      </c>
      <c r="C11" s="160">
        <f>'T-2_Izvori sredstava'!C64</f>
        <v>7069540.7185</v>
      </c>
      <c r="D11" s="160">
        <f>'T-2_Izvori sredstava'!D64</f>
        <v>4360260.7828</v>
      </c>
      <c r="E11" s="160">
        <f>'T-2_Izvori sredstava'!E64</f>
        <v>2089500.0002</v>
      </c>
      <c r="F11" s="160">
        <f>'T-2_Izvori sredstava'!F64</f>
        <v>30808041.8285</v>
      </c>
      <c r="G11" s="160">
        <f>'T-2_Izvori sredstava'!G64</f>
        <v>206000</v>
      </c>
      <c r="H11" s="160">
        <f>'T-2_Izvori sredstava'!H64</f>
        <v>794800</v>
      </c>
      <c r="I11" s="161">
        <f t="shared" si="1"/>
        <v>45328143.33</v>
      </c>
    </row>
    <row r="12" spans="2:9" ht="12.75">
      <c r="B12" s="164" t="s">
        <v>627</v>
      </c>
      <c r="C12" s="173">
        <f>SUM(C13:C17)</f>
        <v>70746811</v>
      </c>
      <c r="D12" s="173">
        <f aca="true" t="shared" si="2" ref="D12:I12">SUM(D13:D17)</f>
        <v>91384098.62</v>
      </c>
      <c r="E12" s="173">
        <f t="shared" si="2"/>
        <v>139066830</v>
      </c>
      <c r="F12" s="173">
        <f t="shared" si="2"/>
        <v>174442442.77</v>
      </c>
      <c r="G12" s="173">
        <f t="shared" si="2"/>
        <v>155000</v>
      </c>
      <c r="H12" s="173">
        <f t="shared" si="2"/>
        <v>5954462.4</v>
      </c>
      <c r="I12" s="173">
        <f t="shared" si="2"/>
        <v>481749644.79</v>
      </c>
    </row>
    <row r="13" spans="2:9" ht="25.5">
      <c r="B13" s="165" t="s">
        <v>628</v>
      </c>
      <c r="C13" s="160">
        <f>'T-2_Izvori sredstava'!C87</f>
        <v>43007301</v>
      </c>
      <c r="D13" s="160">
        <f>'T-2_Izvori sredstava'!D87</f>
        <v>39580825</v>
      </c>
      <c r="E13" s="160">
        <f>'T-2_Izvori sredstava'!E87</f>
        <v>67876042</v>
      </c>
      <c r="F13" s="160">
        <f>'T-2_Izvori sredstava'!F87</f>
        <v>75556952</v>
      </c>
      <c r="G13" s="160">
        <f>'T-2_Izvori sredstava'!G87</f>
        <v>150000</v>
      </c>
      <c r="H13" s="160">
        <f>'T-2_Izvori sredstava'!H87</f>
        <v>353480</v>
      </c>
      <c r="I13" s="161">
        <f t="shared" si="1"/>
        <v>226524600</v>
      </c>
    </row>
    <row r="14" spans="2:9" ht="25.5">
      <c r="B14" s="165" t="s">
        <v>629</v>
      </c>
      <c r="C14" s="160">
        <f>'T-2_Izvori sredstava'!C114</f>
        <v>10430000</v>
      </c>
      <c r="D14" s="160">
        <f>'T-2_Izvori sredstava'!D114</f>
        <v>18053627.7</v>
      </c>
      <c r="E14" s="160">
        <f>'T-2_Izvori sredstava'!E114</f>
        <v>4394000</v>
      </c>
      <c r="F14" s="160">
        <f>'T-2_Izvori sredstava'!F114</f>
        <v>52924202</v>
      </c>
      <c r="G14" s="160">
        <f>'T-2_Izvori sredstava'!G114</f>
        <v>0</v>
      </c>
      <c r="H14" s="160">
        <f>'T-2_Izvori sredstava'!H114</f>
        <v>2179374</v>
      </c>
      <c r="I14" s="161">
        <f t="shared" si="1"/>
        <v>87981203.7</v>
      </c>
    </row>
    <row r="15" spans="2:9" ht="25.5">
      <c r="B15" s="165" t="s">
        <v>630</v>
      </c>
      <c r="C15" s="160">
        <f>'T-2_Izvori sredstava'!C127</f>
        <v>150000</v>
      </c>
      <c r="D15" s="160">
        <f>'T-2_Izvori sredstava'!D127</f>
        <v>4360000</v>
      </c>
      <c r="E15" s="160">
        <f>'T-2_Izvori sredstava'!E127</f>
        <v>1045000</v>
      </c>
      <c r="F15" s="160">
        <f>'T-2_Izvori sredstava'!F127</f>
        <v>0</v>
      </c>
      <c r="G15" s="160">
        <f>'T-2_Izvori sredstava'!G127</f>
        <v>0</v>
      </c>
      <c r="H15" s="160">
        <f>'T-2_Izvori sredstava'!H127</f>
        <v>0</v>
      </c>
      <c r="I15" s="161">
        <f t="shared" si="1"/>
        <v>5555000</v>
      </c>
    </row>
    <row r="16" spans="2:9" ht="12.75">
      <c r="B16" s="165" t="s">
        <v>631</v>
      </c>
      <c r="C16" s="160">
        <f>'T-2_Izvori sredstava'!C134</f>
        <v>8797100</v>
      </c>
      <c r="D16" s="160">
        <f>'T-2_Izvori sredstava'!D134</f>
        <v>11820600</v>
      </c>
      <c r="E16" s="160">
        <f>'T-2_Izvori sredstava'!E134</f>
        <v>53553688</v>
      </c>
      <c r="F16" s="160">
        <f>'T-2_Izvori sredstava'!F134</f>
        <v>3877885</v>
      </c>
      <c r="G16" s="160">
        <f>'T-2_Izvori sredstava'!G134</f>
        <v>5000</v>
      </c>
      <c r="H16" s="160">
        <f>'T-2_Izvori sredstava'!H134</f>
        <v>1956688.4</v>
      </c>
      <c r="I16" s="161">
        <f t="shared" si="1"/>
        <v>80010961.4</v>
      </c>
    </row>
    <row r="17" spans="2:9" ht="12.75">
      <c r="B17" s="165" t="s">
        <v>632</v>
      </c>
      <c r="C17" s="160">
        <f>'T-2_Izvori sredstava'!C142</f>
        <v>8362410</v>
      </c>
      <c r="D17" s="160">
        <f>'T-2_Izvori sredstava'!D142</f>
        <v>17569045.92</v>
      </c>
      <c r="E17" s="160">
        <f>'T-2_Izvori sredstava'!E142</f>
        <v>12198100</v>
      </c>
      <c r="F17" s="160">
        <f>'T-2_Izvori sredstava'!F142</f>
        <v>42083403.77</v>
      </c>
      <c r="G17" s="160">
        <f>'T-2_Izvori sredstava'!G142</f>
        <v>0</v>
      </c>
      <c r="H17" s="160">
        <f>'T-2_Izvori sredstava'!H142</f>
        <v>1464920</v>
      </c>
      <c r="I17" s="161">
        <f t="shared" si="1"/>
        <v>81677879.69</v>
      </c>
    </row>
    <row r="18" spans="2:9" ht="12.75">
      <c r="B18" s="162" t="s">
        <v>633</v>
      </c>
      <c r="C18" s="172">
        <f>SUM(C19:C22)</f>
        <v>126845692.44</v>
      </c>
      <c r="D18" s="172">
        <f aca="true" t="shared" si="3" ref="D18:I18">SUM(D19:D22)</f>
        <v>47936776.61</v>
      </c>
      <c r="E18" s="172">
        <f t="shared" si="3"/>
        <v>45970484.11</v>
      </c>
      <c r="F18" s="172">
        <f t="shared" si="3"/>
        <v>423235268.54999995</v>
      </c>
      <c r="G18" s="172">
        <f t="shared" si="3"/>
        <v>29022265</v>
      </c>
      <c r="H18" s="172">
        <f t="shared" si="3"/>
        <v>4169465</v>
      </c>
      <c r="I18" s="172">
        <f t="shared" si="3"/>
        <v>677179951.71</v>
      </c>
    </row>
    <row r="19" spans="2:9" ht="12.75">
      <c r="B19" s="163" t="s">
        <v>634</v>
      </c>
      <c r="C19" s="160">
        <f>'T-2_Izvori sredstava'!C157</f>
        <v>83007739.44</v>
      </c>
      <c r="D19" s="160">
        <f>'T-2_Izvori sredstava'!D157</f>
        <v>11880000</v>
      </c>
      <c r="E19" s="160">
        <f>'T-2_Izvori sredstava'!E157</f>
        <v>24471730.5</v>
      </c>
      <c r="F19" s="160">
        <f>'T-2_Izvori sredstava'!F157</f>
        <v>268598685.02</v>
      </c>
      <c r="G19" s="160">
        <f>'T-2_Izvori sredstava'!G157</f>
        <v>9102865</v>
      </c>
      <c r="H19" s="160">
        <f>'T-2_Izvori sredstava'!H157</f>
        <v>3983429</v>
      </c>
      <c r="I19" s="161">
        <f t="shared" si="1"/>
        <v>401044448.96</v>
      </c>
    </row>
    <row r="20" spans="2:9" ht="25.5">
      <c r="B20" s="163" t="s">
        <v>635</v>
      </c>
      <c r="C20" s="160">
        <f>'T-2_Izvori sredstava'!C176</f>
        <v>10468000</v>
      </c>
      <c r="D20" s="160">
        <f>'T-2_Izvori sredstava'!D176</f>
        <v>5168769.609999999</v>
      </c>
      <c r="E20" s="160">
        <f>'T-2_Izvori sredstava'!E176</f>
        <v>13723269.61</v>
      </c>
      <c r="F20" s="160">
        <f>'T-2_Izvori sredstava'!F176</f>
        <v>107427555.53</v>
      </c>
      <c r="G20" s="160">
        <f>'T-2_Izvori sredstava'!G176</f>
        <v>19819000</v>
      </c>
      <c r="H20" s="160">
        <f>'T-2_Izvori sredstava'!H176</f>
        <v>7500</v>
      </c>
      <c r="I20" s="161">
        <f t="shared" si="1"/>
        <v>156614094.75</v>
      </c>
    </row>
    <row r="21" spans="2:9" ht="25.5">
      <c r="B21" s="163" t="s">
        <v>636</v>
      </c>
      <c r="C21" s="160">
        <f>'T-2_Izvori sredstava'!C188</f>
        <v>6002831</v>
      </c>
      <c r="D21" s="160">
        <f>'T-2_Izvori sredstava'!D188</f>
        <v>28149581</v>
      </c>
      <c r="E21" s="160">
        <f>'T-2_Izvori sredstava'!E188</f>
        <v>6000000</v>
      </c>
      <c r="F21" s="160">
        <f>'T-2_Izvori sredstava'!F188</f>
        <v>31632462</v>
      </c>
      <c r="G21" s="160">
        <f>'T-2_Izvori sredstava'!G188</f>
        <v>62400</v>
      </c>
      <c r="H21" s="160">
        <f>'T-2_Izvori sredstava'!H188</f>
        <v>178536</v>
      </c>
      <c r="I21" s="161">
        <f t="shared" si="1"/>
        <v>72025810</v>
      </c>
    </row>
    <row r="22" spans="2:9" ht="26.25" thickBot="1">
      <c r="B22" s="166" t="s">
        <v>637</v>
      </c>
      <c r="C22" s="167">
        <f>'T-2_Izvori sredstava'!C201</f>
        <v>27367122</v>
      </c>
      <c r="D22" s="167">
        <f>'T-2_Izvori sredstava'!D201</f>
        <v>2738426</v>
      </c>
      <c r="E22" s="167">
        <f>'T-2_Izvori sredstava'!E201</f>
        <v>1775484</v>
      </c>
      <c r="F22" s="167">
        <f>'T-2_Izvori sredstava'!F201</f>
        <v>15576566</v>
      </c>
      <c r="G22" s="167">
        <f>'T-2_Izvori sredstava'!G201</f>
        <v>38000</v>
      </c>
      <c r="H22" s="167">
        <f>'T-2_Izvori sredstava'!H201</f>
        <v>0</v>
      </c>
      <c r="I22" s="161">
        <f t="shared" si="1"/>
        <v>47495598</v>
      </c>
    </row>
    <row r="23" spans="2:9" ht="15.75">
      <c r="B23" s="168" t="s">
        <v>608</v>
      </c>
      <c r="C23" s="170">
        <f aca="true" t="shared" si="4" ref="C23:I23">SUM(C6+C12+C18)</f>
        <v>213794942.38050002</v>
      </c>
      <c r="D23" s="170">
        <f t="shared" si="4"/>
        <v>160247115.6428</v>
      </c>
      <c r="E23" s="170">
        <f t="shared" si="4"/>
        <v>194281269.1102</v>
      </c>
      <c r="F23" s="170">
        <f t="shared" si="4"/>
        <v>721222000.5964999</v>
      </c>
      <c r="G23" s="170">
        <f t="shared" si="4"/>
        <v>29623265</v>
      </c>
      <c r="H23" s="170">
        <f t="shared" si="4"/>
        <v>14347023.4</v>
      </c>
      <c r="I23" s="171">
        <f t="shared" si="4"/>
        <v>1333515616.13</v>
      </c>
    </row>
    <row r="24" spans="2:9" ht="16.5" thickBot="1">
      <c r="B24" s="169" t="s">
        <v>617</v>
      </c>
      <c r="C24" s="177">
        <f>C23/I23</f>
        <v>0.16032428851561184</v>
      </c>
      <c r="D24" s="177">
        <f>D23/I23</f>
        <v>0.12016890818860725</v>
      </c>
      <c r="E24" s="177">
        <f>E23/I23</f>
        <v>0.14569103410579043</v>
      </c>
      <c r="F24" s="177">
        <f>F23/I23</f>
        <v>0.5408425607264807</v>
      </c>
      <c r="G24" s="177">
        <f>G23/I23</f>
        <v>0.022214411771172032</v>
      </c>
      <c r="H24" s="177">
        <f>H23/I23</f>
        <v>0.010758796692337614</v>
      </c>
      <c r="I24" s="178">
        <f>SUM(C24:H24)</f>
        <v>0.9999999999999999</v>
      </c>
    </row>
  </sheetData>
  <sheetProtection/>
  <mergeCells count="3">
    <mergeCell ref="C4:I4"/>
    <mergeCell ref="B4:B5"/>
    <mergeCell ref="A4:A5"/>
  </mergeCells>
  <printOptions/>
  <pageMargins left="0.7" right="0.7" top="0.75" bottom="0.75" header="0.3" footer="0.3"/>
  <pageSetup horizontalDpi="600" verticalDpi="600" orientation="portrait" paperSize="9" r:id="rId1"/>
  <ignoredErrors>
    <ignoredError sqref="I12 I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Ana Kralj</cp:lastModifiedBy>
  <cp:lastPrinted>2017-08-10T11:34:40Z</cp:lastPrinted>
  <dcterms:created xsi:type="dcterms:W3CDTF">2010-03-25T12:47:07Z</dcterms:created>
  <dcterms:modified xsi:type="dcterms:W3CDTF">2017-08-10T11:44:19Z</dcterms:modified>
  <cp:category/>
  <cp:version/>
  <cp:contentType/>
  <cp:contentStatus/>
</cp:coreProperties>
</file>