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<sst xmlns="http://schemas.openxmlformats.org/spreadsheetml/2006/main" count="4924" uniqueCount="2985">
  <si>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</si>
  <si>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</si>
  <si>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</si>
  <si>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</si>
  <si>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</si>
  <si>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</si>
  <si>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</si>
  <si>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</si>
  <si>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</si>
  <si>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</si>
  <si>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</si>
  <si>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</si>
  <si>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</si>
  <si>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</si>
  <si>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</si>
  <si>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</si>
  <si>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</si>
  <si>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</si>
  <si>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</si>
  <si>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</si>
  <si>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</si>
  <si>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</si>
  <si>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</si>
  <si>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</si>
  <si>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</si>
  <si>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</si>
  <si>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</si>
  <si>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</si>
  <si>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</si>
  <si>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</si>
  <si>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</si>
  <si>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</si>
  <si>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</si>
  <si>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</si>
  <si>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</si>
  <si>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</si>
  <si>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</si>
  <si>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</si>
  <si>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</si>
  <si>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</si>
  <si>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</si>
  <si>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</si>
  <si>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</si>
  <si>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</si>
  <si>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</si>
  <si>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</si>
  <si>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</si>
  <si>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</si>
  <si>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</si>
  <si>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</si>
  <si>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</si>
  <si>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</si>
  <si>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</si>
  <si>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</si>
  <si>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</si>
  <si>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</si>
  <si>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</si>
  <si>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</si>
  <si>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</si>
  <si>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</si>
  <si>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</si>
  <si>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</si>
  <si>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</si>
  <si>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</si>
  <si>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</si>
  <si>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</si>
  <si>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</si>
  <si>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</si>
  <si>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</si>
  <si>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</si>
  <si>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</si>
  <si>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</si>
  <si>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</si>
  <si>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</si>
  <si>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</si>
  <si>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</si>
  <si>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</si>
  <si>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</si>
  <si>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</si>
  <si>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</si>
  <si>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</si>
  <si>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</si>
  <si>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</si>
  <si>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</si>
  <si>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</si>
  <si>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</si>
  <si>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</si>
  <si>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</si>
  <si>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</si>
  <si>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</si>
  <si>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</si>
  <si>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</si>
  <si>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</si>
  <si>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</si>
  <si>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</si>
  <si>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</si>
  <si>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</si>
  <si>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</si>
  <si>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</si>
  <si>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</si>
  <si>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</si>
  <si>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</si>
  <si>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</si>
  <si>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</si>
  <si>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</si>
  <si>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</si>
  <si>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</si>
  <si>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</si>
  <si>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</si>
  <si>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</si>
  <si>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</si>
  <si>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</si>
  <si>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</si>
  <si>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</si>
  <si>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</si>
  <si>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</si>
  <si>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</si>
  <si>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</si>
  <si>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</si>
  <si>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</si>
  <si>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</si>
  <si>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</si>
  <si>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</si>
  <si>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</si>
  <si>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</si>
  <si>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</si>
  <si>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</si>
  <si>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</si>
  <si>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</si>
  <si>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</si>
  <si>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</si>
  <si>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</si>
  <si>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</si>
  <si>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</si>
  <si>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</si>
  <si>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</si>
  <si>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</si>
  <si>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</si>
  <si>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</si>
  <si>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</si>
  <si>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</si>
  <si>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</si>
  <si>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</si>
  <si>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</si>
  <si>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</si>
  <si>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</si>
  <si>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</si>
  <si>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</si>
  <si>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</si>
  <si>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</si>
  <si>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</si>
  <si>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</si>
  <si>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</si>
  <si>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</si>
  <si>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</si>
  <si>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</si>
  <si>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</si>
  <si>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</si>
  <si>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</si>
  <si>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</si>
  <si>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</si>
  <si>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</si>
  <si>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</si>
  <si>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</si>
  <si>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</si>
  <si>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</si>
  <si>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</si>
  <si>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</si>
  <si>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</si>
  <si>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</si>
  <si>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</si>
  <si>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</si>
  <si>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</si>
  <si>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</si>
  <si>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</si>
  <si>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</si>
  <si>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</si>
  <si>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</si>
  <si>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</si>
  <si>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</si>
  <si>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</si>
  <si>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</si>
  <si>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</si>
  <si>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</si>
  <si>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</si>
  <si>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</si>
  <si>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</si>
  <si>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</si>
  <si>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</si>
  <si>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</si>
  <si>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</si>
  <si>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</si>
  <si>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</si>
  <si>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</si>
  <si>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</si>
  <si>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</si>
  <si>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</si>
  <si>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</si>
  <si>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</si>
  <si>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</si>
  <si>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</si>
  <si>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</si>
  <si>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</si>
  <si>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</si>
  <si>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</si>
  <si>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</si>
  <si>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</si>
  <si>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</si>
  <si>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</si>
  <si>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</si>
  <si>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</si>
  <si>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</si>
  <si>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</si>
  <si>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</si>
  <si>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</si>
  <si>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</si>
  <si>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</si>
  <si>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</si>
  <si>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</si>
  <si>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</si>
  <si>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</si>
  <si>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</si>
  <si>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</si>
  <si>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</si>
  <si>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</si>
  <si>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</si>
  <si>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</si>
  <si>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</si>
  <si>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</si>
  <si>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</si>
  <si>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</si>
  <si>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</si>
  <si>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</si>
  <si>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</si>
  <si>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</si>
  <si>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</si>
  <si>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</si>
  <si>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</si>
  <si>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</si>
  <si>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</si>
  <si>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</si>
  <si>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</si>
  <si>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</si>
  <si>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</si>
  <si>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</si>
  <si>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</si>
  <si>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</si>
  <si>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</si>
  <si>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</si>
  <si>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</si>
  <si>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</si>
  <si>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</si>
  <si>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</si>
  <si>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</si>
  <si>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</si>
  <si>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</si>
  <si>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</si>
  <si>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</si>
  <si>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</si>
  <si>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</si>
  <si>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</si>
  <si>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</si>
  <si>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</si>
  <si>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</si>
  <si>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</si>
  <si>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</si>
  <si>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</si>
  <si>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</si>
  <si>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</si>
  <si>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</si>
  <si>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</si>
  <si>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</si>
  <si>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</si>
  <si>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</si>
  <si>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</si>
  <si>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</si>
  <si>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</si>
  <si>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</si>
  <si>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</si>
  <si>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</si>
  <si>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</si>
  <si>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</si>
  <si>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</si>
  <si>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</si>
  <si>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</si>
  <si>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</si>
  <si>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</si>
  <si>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</si>
  <si>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</si>
  <si>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</si>
  <si>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</si>
  <si>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</si>
  <si>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</si>
  <si>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</si>
  <si>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</si>
  <si>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</si>
  <si>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</si>
  <si>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</si>
  <si>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</si>
  <si>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</si>
  <si>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</si>
  <si>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</si>
  <si>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</si>
  <si>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</si>
  <si>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</si>
  <si>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</si>
  <si>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</si>
  <si>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</si>
  <si>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</si>
  <si>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</si>
  <si>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</si>
  <si>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</si>
  <si>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</si>
  <si>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</si>
  <si>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</si>
  <si>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</si>
  <si>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</si>
  <si>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</si>
  <si>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</si>
  <si>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</si>
  <si>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</si>
  <si>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</si>
  <si>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</si>
  <si>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</si>
  <si>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</si>
  <si>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</si>
  <si>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</si>
  <si>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</si>
  <si>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</si>
  <si>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</si>
  <si>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</si>
  <si>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</si>
  <si>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</si>
  <si>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</si>
  <si>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</si>
  <si>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</si>
  <si>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</si>
  <si>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</si>
  <si>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</si>
  <si>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</si>
  <si>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</si>
  <si>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</si>
  <si>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</si>
  <si>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</si>
  <si>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</si>
  <si>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</si>
  <si>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</si>
  <si>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</si>
  <si>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</si>
  <si>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</si>
  <si>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</si>
  <si>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</si>
  <si>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</si>
  <si>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</si>
  <si>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</si>
  <si>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</si>
  <si>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</si>
  <si>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</si>
  <si>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</si>
  <si>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</si>
  <si>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</si>
  <si>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</si>
  <si>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</si>
  <si>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</si>
  <si>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</si>
  <si>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</si>
  <si>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</si>
  <si>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</si>
  <si>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</si>
  <si>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</si>
  <si>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</si>
  <si>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</si>
  <si>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</si>
  <si>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</si>
  <si>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</si>
  <si>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</si>
  <si>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</si>
  <si>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</si>
  <si>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</si>
  <si>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</si>
  <si>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</si>
  <si>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</si>
  <si>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</si>
  <si>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</si>
  <si>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</si>
  <si>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</si>
  <si>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</si>
  <si>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</si>
  <si>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</si>
  <si>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</si>
  <si>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</si>
  <si>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</si>
  <si>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</si>
  <si>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</si>
  <si>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</si>
  <si>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</si>
  <si>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</si>
  <si>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</si>
  <si>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</si>
  <si>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</si>
  <si>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</si>
  <si>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</si>
  <si>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</si>
  <si>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</si>
  <si>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</si>
  <si>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</si>
  <si>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</si>
  <si>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</si>
  <si>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</si>
  <si>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</si>
  <si>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</si>
  <si>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</si>
  <si>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</si>
  <si>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</si>
  <si>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</si>
  <si>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</si>
  <si>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</si>
  <si>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</si>
  <si>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</si>
  <si>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</si>
  <si>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</si>
  <si>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</si>
  <si>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</si>
  <si>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</si>
  <si>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</si>
  <si>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</si>
  <si>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</si>
  <si>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</si>
  <si>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</si>
  <si>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</si>
  <si>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</si>
  <si>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</si>
  <si>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</si>
  <si>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</si>
  <si>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</si>
  <si>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</si>
  <si>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</si>
  <si>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</si>
  <si>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</si>
  <si>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</si>
  <si>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</si>
  <si>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</si>
  <si>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</si>
  <si>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</si>
  <si>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</si>
  <si>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</si>
  <si>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</si>
  <si>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</si>
  <si>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</si>
  <si>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</si>
  <si>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</si>
  <si>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</si>
  <si>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</si>
  <si>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</si>
  <si>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</si>
  <si>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</si>
  <si>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</si>
  <si>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</si>
  <si>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</si>
  <si>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</si>
  <si>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</si>
  <si>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</si>
  <si>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</si>
  <si>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</si>
  <si>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</si>
  <si>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</si>
  <si>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</si>
  <si>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</si>
  <si>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</si>
  <si>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</si>
  <si>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</si>
  <si>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</si>
  <si>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</si>
  <si>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</si>
  <si>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</si>
  <si>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</si>
  <si>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</si>
  <si>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</si>
  <si>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</si>
  <si>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</si>
  <si>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</si>
  <si>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</si>
  <si>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</si>
  <si>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</si>
  <si>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</si>
  <si>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</si>
  <si>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</si>
  <si>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</si>
  <si>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</si>
  <si>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</si>
  <si>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</si>
  <si>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</si>
  <si>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</si>
  <si>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</si>
  <si>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</si>
  <si>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</si>
  <si>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</si>
  <si>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</si>
  <si>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</si>
  <si>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</si>
  <si>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</si>
  <si>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</si>
  <si>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</si>
  <si>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</si>
  <si>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</si>
  <si>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</si>
  <si>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</si>
  <si>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</si>
  <si>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</si>
  <si>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</si>
  <si>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</si>
  <si>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</si>
  <si>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</si>
  <si>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</si>
  <si>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</si>
  <si>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</si>
  <si>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</si>
  <si>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</si>
  <si>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</si>
  <si>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</si>
  <si>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</si>
  <si>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</si>
  <si>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</si>
  <si>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</si>
  <si>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</si>
  <si>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</si>
  <si>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</si>
  <si>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</si>
  <si>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</si>
  <si>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</si>
  <si>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</si>
  <si>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</si>
  <si>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</si>
  <si>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</si>
  <si>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</si>
  <si>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</si>
  <si>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</si>
  <si>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</si>
  <si>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</si>
  <si>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</si>
  <si>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</si>
  <si>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</si>
  <si>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</si>
  <si>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</si>
  <si>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</si>
  <si>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</si>
  <si>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</si>
  <si>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</si>
  <si>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</si>
  <si>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</si>
  <si>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</si>
  <si>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</si>
  <si>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</si>
  <si>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</si>
  <si>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</si>
  <si>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</si>
  <si>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</si>
  <si>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</si>
  <si>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</si>
  <si>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</si>
  <si>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</si>
  <si>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</si>
  <si>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</si>
  <si>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</si>
  <si>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</si>
  <si>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</si>
  <si>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</si>
  <si>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</si>
  <si>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</si>
  <si>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</si>
  <si>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</si>
  <si>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</si>
  <si>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</si>
  <si>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</si>
  <si>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</si>
  <si>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</si>
  <si>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</si>
  <si>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</si>
  <si>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</si>
  <si>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</si>
  <si>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</si>
  <si>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</si>
  <si>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</si>
  <si>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</si>
  <si>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</si>
  <si>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</si>
  <si>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</si>
  <si>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</si>
  <si>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</si>
  <si>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</si>
  <si>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</si>
  <si>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</si>
  <si>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</si>
  <si>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</si>
  <si>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</si>
  <si>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</si>
  <si>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</si>
  <si>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</si>
  <si>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</si>
  <si>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</si>
  <si>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</si>
  <si>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</si>
  <si>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</si>
  <si>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</si>
  <si>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</si>
  <si>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</si>
  <si>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</si>
  <si>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</si>
  <si>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</si>
  <si>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</si>
  <si>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</si>
  <si>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</si>
  <si>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</si>
  <si>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</si>
  <si>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</si>
  <si>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</si>
  <si>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</si>
  <si>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</si>
  <si>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</si>
  <si>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</si>
  <si>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</si>
  <si>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</si>
  <si>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</si>
  <si>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</si>
  <si>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</si>
  <si>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</si>
  <si>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</si>
  <si>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</si>
  <si>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</si>
  <si>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</si>
  <si>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</si>
  <si>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</si>
  <si>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</si>
  <si>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</si>
  <si>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</si>
  <si>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</si>
  <si>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</si>
  <si>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</si>
  <si>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</si>
  <si>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</si>
  <si>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</si>
  <si>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</si>
  <si>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</si>
  <si>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</si>
  <si>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</si>
  <si>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</si>
  <si>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</si>
  <si>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</si>
  <si>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</si>
  <si>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</si>
  <si>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</si>
  <si>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</si>
  <si>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</si>
  <si>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</si>
  <si>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</si>
  <si>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</si>
  <si>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</si>
  <si>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</si>
  <si>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</si>
  <si>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</si>
  <si>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</si>
  <si>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</si>
  <si>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</si>
  <si>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</si>
  <si>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</si>
  <si>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</si>
  <si>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</si>
  <si>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</si>
  <si>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</si>
  <si>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</si>
  <si>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</si>
  <si>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</si>
  <si>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</si>
  <si>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</si>
  <si>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</si>
  <si>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</si>
  <si>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</si>
  <si>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</si>
  <si>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</si>
  <si>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</si>
  <si>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</si>
  <si>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</si>
  <si>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</si>
  <si>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</si>
  <si>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</si>
  <si>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</si>
  <si>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</si>
  <si>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</si>
  <si>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</si>
  <si>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</si>
  <si>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</si>
  <si>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</si>
  <si>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</si>
  <si>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</si>
  <si>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</si>
  <si>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</si>
  <si>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</si>
  <si>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</si>
  <si>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</si>
  <si>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</si>
  <si>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</si>
  <si>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</si>
  <si>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</si>
  <si>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</si>
  <si>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</si>
  <si>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</si>
  <si>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</si>
  <si>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</si>
  <si>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</si>
  <si>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</si>
  <si>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</si>
  <si>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</si>
  <si>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</si>
  <si>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</si>
  <si>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</si>
  <si>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</si>
  <si>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</si>
  <si>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</si>
  <si>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</si>
  <si>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</si>
  <si>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</si>
  <si>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</si>
  <si>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</si>
  <si>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</si>
  <si>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</si>
  <si>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</si>
  <si>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</si>
  <si>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</si>
  <si>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</si>
  <si>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</si>
  <si>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</si>
  <si>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</si>
  <si>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</si>
  <si>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</si>
  <si>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</si>
  <si>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</si>
  <si>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</si>
  <si>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</si>
  <si>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</si>
  <si>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</si>
  <si>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</si>
  <si>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</si>
  <si>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</si>
  <si>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</si>
  <si>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</si>
  <si>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</si>
  <si>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</si>
  <si>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</si>
  <si>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</si>
  <si>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</si>
  <si>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</si>
  <si>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</si>
  <si>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</si>
  <si>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</si>
  <si>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</si>
  <si>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</si>
  <si>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</si>
  <si>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</si>
  <si>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</si>
  <si>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</si>
  <si>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</si>
  <si>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</si>
  <si>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</si>
  <si>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</si>
  <si>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</si>
  <si>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</si>
  <si>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</si>
  <si>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</si>
  <si>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</si>
  <si>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</si>
  <si>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</si>
  <si>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</si>
  <si>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</si>
  <si>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</si>
  <si>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</si>
  <si>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</si>
  <si>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</si>
  <si>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</si>
  <si>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</si>
  <si>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</si>
  <si>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</si>
  <si>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</si>
  <si>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</si>
  <si>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</si>
  <si>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</si>
  <si>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</si>
  <si>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</si>
  <si>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</si>
  <si>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</si>
  <si>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</si>
  <si>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</si>
  <si>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</si>
  <si>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</si>
  <si>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</si>
  <si>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</si>
  <si>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</si>
  <si>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</si>
  <si>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</si>
  <si>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</si>
  <si>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</si>
  <si>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</si>
  <si>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</si>
  <si>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</si>
  <si>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</si>
  <si>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</si>
  <si>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</si>
  <si>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</si>
  <si>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</si>
  <si>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</si>
  <si>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</si>
  <si>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</si>
  <si>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</si>
  <si>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</si>
  <si>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</si>
  <si>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</si>
  <si>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</si>
  <si>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</si>
  <si>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</si>
  <si>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</si>
  <si>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</si>
  <si>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</si>
  <si>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</si>
  <si>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</si>
  <si>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</si>
  <si>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</si>
  <si>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</si>
  <si>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</si>
  <si>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</si>
  <si>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</si>
  <si>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</si>
  <si>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</si>
  <si>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</si>
  <si>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</si>
  <si>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</si>
  <si>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</si>
  <si>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</si>
  <si>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</si>
  <si>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</si>
  <si>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</si>
  <si>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</si>
  <si>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</si>
  <si>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</si>
  <si>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</si>
  <si>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</si>
  <si>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</si>
  <si>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</si>
  <si>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</si>
  <si>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</si>
  <si>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</si>
  <si>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</si>
  <si>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</si>
  <si>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</si>
  <si>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</si>
  <si>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</si>
  <si>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</si>
  <si>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</si>
  <si>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</si>
  <si>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</si>
  <si>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</si>
  <si>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</si>
  <si>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</si>
  <si>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</si>
  <si>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</si>
  <si>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</si>
  <si>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</si>
  <si>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</si>
  <si>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</si>
  <si>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</si>
  <si>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</si>
  <si>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</si>
  <si>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</si>
  <si>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</si>
  <si>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</si>
  <si>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</si>
  <si>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</si>
  <si>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</si>
  <si>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</si>
  <si>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</si>
  <si>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</si>
  <si>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</si>
  <si>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</si>
  <si>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</si>
  <si>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</si>
  <si>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</si>
  <si>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</si>
  <si>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</si>
  <si>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</si>
  <si>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</si>
  <si>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</si>
  <si>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</si>
  <si>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</si>
  <si>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</si>
  <si>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</si>
  <si>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</si>
  <si>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</si>
  <si>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</si>
  <si>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</si>
  <si>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</si>
  <si>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</si>
  <si>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</si>
  <si>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</si>
  <si>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</si>
  <si>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</si>
  <si>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</si>
  <si>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</si>
  <si>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</si>
  <si>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</si>
  <si>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</si>
  <si>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</si>
  <si>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</si>
  <si>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</si>
  <si>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</si>
  <si>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</si>
  <si>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</si>
  <si>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</si>
  <si>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</si>
  <si>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</si>
  <si>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</si>
  <si>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</si>
  <si>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</si>
  <si>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</si>
  <si>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</si>
  <si>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</si>
  <si>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</si>
  <si>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</si>
  <si>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</si>
  <si>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</si>
  <si>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</si>
  <si>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</si>
  <si>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</si>
  <si>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</si>
  <si>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</si>
  <si>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</si>
  <si>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</si>
  <si>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</si>
  <si>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</si>
  <si>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</si>
  <si>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</si>
  <si>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</si>
  <si>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</si>
  <si>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</si>
  <si>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</si>
  <si>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</si>
  <si>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</si>
  <si>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</si>
  <si>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</si>
  <si>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</si>
  <si>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</si>
  <si>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</si>
  <si>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</si>
  <si>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</si>
  <si>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</si>
  <si>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</si>
  <si>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</si>
  <si>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</si>
  <si>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</si>
  <si>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</si>
  <si>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</si>
  <si>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</si>
  <si>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</si>
  <si>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</si>
  <si>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</si>
  <si>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</si>
  <si>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</si>
  <si>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</si>
  <si>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</si>
  <si>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</si>
  <si>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</si>
  <si>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</si>
  <si>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</si>
  <si>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</si>
  <si>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</si>
  <si>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</si>
  <si>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</si>
  <si>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</si>
  <si>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</si>
  <si>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</si>
  <si>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</si>
  <si>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</si>
  <si>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</si>
  <si>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</si>
  <si>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</si>
  <si>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</si>
  <si>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</si>
  <si>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</si>
  <si>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</si>
  <si>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</si>
  <si>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</si>
  <si>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</si>
  <si>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</si>
  <si>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</si>
  <si>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</si>
  <si>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</si>
  <si>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</si>
  <si>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</si>
  <si>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</si>
  <si>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</si>
  <si>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</si>
  <si>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</si>
  <si>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</si>
  <si>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</si>
  <si>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</si>
  <si>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</si>
  <si>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</si>
  <si>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</si>
  <si>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</si>
  <si>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</si>
  <si>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</si>
  <si>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</si>
  <si>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</si>
  <si>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</si>
  <si>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</si>
  <si>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</si>
  <si>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</si>
  <si>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</si>
  <si>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</si>
  <si>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</si>
  <si>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</si>
  <si>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</si>
  <si>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</si>
  <si>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</si>
  <si>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</si>
  <si>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</si>
  <si>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</si>
  <si>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</si>
  <si>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</si>
  <si>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</si>
  <si>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</si>
  <si>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</si>
  <si>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</si>
  <si>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</si>
  <si>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</si>
  <si>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</si>
  <si>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</si>
  <si>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</si>
  <si>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</si>
  <si>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</si>
  <si>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</si>
  <si>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</si>
  <si>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</si>
  <si>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</si>
  <si>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</si>
  <si>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</si>
  <si>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</si>
  <si>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</si>
  <si>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</si>
  <si>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</si>
  <si>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</si>
  <si>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</si>
  <si>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</si>
  <si>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</si>
  <si>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</si>
  <si>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</si>
  <si>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</si>
  <si>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</si>
  <si>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</si>
  <si>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</si>
  <si>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</si>
  <si>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</si>
  <si>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</si>
  <si>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</si>
  <si>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</si>
  <si>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</si>
  <si>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</si>
  <si>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</si>
  <si>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</si>
  <si>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</si>
  <si>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</si>
  <si>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</si>
  <si>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</si>
  <si>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</si>
  <si>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</si>
  <si>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</si>
  <si>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</si>
  <si>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</si>
  <si>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</si>
  <si>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</si>
  <si>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</si>
  <si>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</si>
  <si>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</si>
  <si>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</si>
  <si>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</si>
  <si>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</si>
  <si>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</si>
  <si>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</si>
  <si>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</si>
  <si>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</si>
  <si>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</si>
  <si>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</si>
  <si>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</si>
  <si>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</si>
  <si>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</si>
  <si>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</si>
  <si>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</si>
  <si>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</si>
  <si>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</si>
  <si>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</si>
  <si>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</si>
  <si>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</si>
  <si>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</si>
  <si>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</si>
  <si>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</si>
  <si>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</si>
  <si>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</si>
  <si>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</si>
  <si>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</si>
  <si>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</si>
  <si>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</si>
  <si>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</si>
  <si>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</si>
  <si>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</si>
  <si>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</si>
  <si>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</si>
  <si>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</si>
  <si>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</si>
  <si>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</si>
  <si>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</si>
  <si>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</si>
  <si>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</si>
  <si>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</si>
  <si>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</si>
  <si>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</si>
  <si>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</si>
  <si>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</si>
  <si>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</si>
  <si>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</si>
  <si>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</si>
  <si>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</si>
  <si>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</si>
  <si>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</si>
  <si>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</si>
  <si>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</si>
  <si>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</si>
  <si>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</si>
  <si>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</si>
  <si>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</si>
  <si>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</si>
  <si>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</si>
  <si>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</si>
  <si>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</si>
  <si>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</si>
  <si>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</si>
  <si>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</si>
  <si>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</si>
  <si>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</si>
  <si>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</si>
  <si>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</si>
  <si>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</si>
  <si>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</si>
  <si>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</si>
  <si>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</si>
  <si>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</si>
  <si>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</si>
  <si>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</si>
  <si>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</si>
  <si>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</si>
  <si>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</si>
  <si>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</si>
  <si>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</si>
  <si>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</si>
  <si>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</si>
  <si>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</si>
  <si>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</si>
  <si>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</si>
  <si>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</si>
  <si>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</si>
  <si>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</si>
  <si>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</si>
  <si>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</si>
  <si>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</si>
  <si>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</si>
  <si>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</si>
  <si>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</si>
  <si>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</si>
  <si>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</si>
  <si>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</si>
  <si>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</si>
  <si>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</si>
  <si>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</si>
  <si>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</si>
  <si>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</si>
  <si>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</si>
  <si>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</si>
  <si>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</si>
  <si>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</si>
  <si>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</si>
  <si>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</si>
  <si>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</si>
  <si>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</si>
  <si>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</si>
  <si>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</si>
  <si>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</si>
  <si>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</si>
  <si>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</si>
  <si>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</si>
  <si>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</si>
  <si>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</si>
  <si>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</si>
  <si>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</si>
  <si>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</si>
  <si>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</si>
  <si>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</si>
  <si>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</si>
  <si>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</si>
  <si>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</si>
  <si>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</si>
  <si>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</si>
  <si>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</si>
  <si>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</si>
  <si>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</si>
  <si>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</si>
  <si>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</si>
  <si>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</si>
  <si>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</si>
  <si>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</si>
  <si>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</si>
  <si>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</si>
  <si>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</si>
  <si>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</si>
  <si>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</si>
  <si>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</si>
  <si>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</si>
  <si>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</si>
  <si>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</si>
  <si>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</si>
  <si>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</si>
  <si>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</si>
  <si>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</si>
  <si>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</si>
  <si>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</si>
  <si>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</si>
  <si>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</si>
  <si>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</si>
  <si>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</si>
  <si>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</si>
  <si>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</si>
  <si>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</si>
  <si>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</si>
  <si>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</si>
  <si>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</si>
  <si>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</si>
  <si>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</si>
  <si>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</si>
  <si>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</si>
  <si>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</si>
  <si>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</si>
  <si>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</si>
  <si>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</si>
  <si>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</si>
  <si>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</si>
  <si>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</si>
  <si>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</si>
  <si>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</si>
  <si>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</si>
  <si>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</si>
  <si>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</si>
  <si>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</si>
  <si>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</si>
  <si>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</si>
  <si>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</si>
  <si>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</si>
  <si>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</si>
  <si>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</si>
  <si>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</si>
  <si>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</si>
  <si>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</si>
  <si>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</si>
  <si>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</si>
  <si>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</si>
  <si>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</si>
  <si>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</si>
  <si>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</si>
  <si>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</si>
  <si>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</si>
  <si>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</si>
  <si>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</si>
  <si>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</si>
  <si>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</si>
  <si>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</si>
  <si>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</si>
  <si>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</si>
  <si>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</si>
  <si>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</si>
  <si>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</si>
  <si>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</si>
  <si>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</si>
  <si>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</si>
  <si>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</si>
  <si>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</si>
  <si>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</si>
  <si>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</si>
  <si>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</si>
  <si>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</si>
  <si>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</si>
  <si>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</si>
  <si>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</si>
  <si>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</si>
  <si>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</si>
  <si>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</si>
  <si>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</si>
  <si>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</si>
  <si>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</si>
  <si>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</si>
  <si>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</si>
  <si>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</si>
  <si>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</si>
  <si>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</si>
  <si>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</si>
  <si>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</si>
  <si>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</si>
  <si>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</si>
  <si>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</si>
  <si>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</si>
  <si>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</si>
  <si>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</si>
  <si>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</si>
  <si>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</si>
  <si>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</si>
  <si>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</si>
  <si>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</si>
  <si>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</si>
  <si>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</si>
  <si>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</si>
  <si>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</si>
  <si>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</si>
  <si>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</si>
  <si>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</si>
  <si>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</si>
  <si>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</si>
  <si>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</si>
  <si>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</si>
  <si>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</si>
  <si>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</si>
  <si>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</si>
  <si>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</si>
  <si>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</si>
  <si>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</si>
  <si>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</si>
  <si>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</si>
  <si>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</si>
  <si>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</si>
  <si>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</si>
  <si>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</si>
  <si>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</si>
  <si>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</si>
  <si>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</si>
  <si>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</si>
  <si>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</si>
  <si>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</si>
  <si>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</si>
  <si>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</si>
  <si>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</si>
  <si>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</si>
  <si>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</si>
  <si>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</si>
  <si>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</si>
  <si>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</si>
  <si>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</si>
  <si>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</si>
  <si>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</si>
  <si>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</si>
  <si>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</si>
  <si>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</si>
  <si>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</si>
  <si>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</si>
  <si>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</si>
  <si>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</si>
  <si>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</si>
  <si>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</si>
  <si>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</si>
  <si>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</si>
  <si>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</si>
  <si>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</si>
  <si>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</si>
  <si>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</si>
  <si>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</si>
  <si>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</si>
  <si>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</si>
  <si>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</si>
  <si>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</si>
  <si>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</si>
  <si>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</si>
  <si>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</si>
  <si>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</si>
  <si>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</si>
  <si>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</si>
  <si>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</si>
  <si>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</si>
  <si>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</si>
  <si>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</si>
  <si>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</si>
  <si>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</si>
  <si>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</si>
  <si>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</si>
  <si>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</si>
  <si>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</si>
  <si>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</si>
  <si>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</si>
  <si>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</si>
  <si>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</si>
  <si>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</si>
  <si>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</si>
  <si>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</si>
  <si>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</si>
  <si>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</si>
  <si>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</si>
  <si>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</si>
  <si>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</si>
  <si>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</si>
  <si>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</si>
  <si>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</si>
  <si>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</si>
  <si>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</si>
  <si>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</si>
  <si>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</si>
  <si>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</si>
  <si>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</si>
  <si>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</si>
  <si>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</si>
  <si>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</si>
  <si>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</si>
  <si>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</si>
  <si>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</si>
  <si>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</si>
  <si>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</si>
  <si>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</si>
  <si>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</si>
  <si>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</si>
  <si>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</si>
  <si>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</si>
  <si>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</si>
  <si>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</si>
  <si>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</si>
  <si>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</si>
  <si>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</si>
  <si>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</si>
  <si>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</si>
  <si>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</si>
  <si>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</si>
  <si>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</si>
  <si>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</si>
  <si>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</si>
  <si>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</si>
  <si>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</si>
  <si>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</si>
  <si>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</si>
  <si>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</si>
  <si>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</si>
  <si>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</si>
  <si>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</si>
  <si>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</si>
  <si>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</si>
  <si>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</si>
  <si>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</si>
  <si>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</si>
  <si>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</si>
  <si>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</si>
  <si>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</si>
  <si>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</si>
  <si>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</si>
  <si>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</si>
  <si>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</si>
  <si>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</si>
  <si>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</si>
  <si>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</si>
  <si>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</si>
  <si>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</si>
  <si>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</si>
  <si>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</si>
  <si>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</si>
  <si>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</si>
  <si>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</si>
  <si>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</si>
  <si>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</si>
  <si>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</si>
  <si>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</si>
  <si>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</si>
  <si>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</si>
  <si>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</si>
  <si>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</si>
  <si>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</si>
  <si>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</si>
  <si>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</si>
  <si>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</si>
  <si>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</si>
  <si>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</si>
  <si>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</si>
  <si>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</si>
  <si>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</si>
  <si>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</si>
  <si>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</si>
  <si>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</si>
  <si>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</si>
  <si>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</si>
  <si>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</si>
  <si>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</si>
  <si>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</si>
  <si>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</si>
  <si>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</si>
  <si>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</si>
  <si>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</si>
  <si>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</si>
  <si>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</si>
  <si>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</si>
  <si>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</si>
  <si>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</si>
  <si>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</si>
  <si>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</si>
  <si>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</si>
  <si>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</si>
  <si>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</si>
  <si>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</si>
  <si>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</si>
  <si>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</si>
  <si>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</si>
  <si>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</si>
  <si>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</si>
  <si>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</si>
  <si>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</si>
  <si>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</si>
  <si>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</si>
  <si>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</si>
  <si>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</si>
  <si>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</si>
  <si>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</si>
  <si>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</si>
  <si>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</si>
  <si>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</si>
  <si>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</si>
  <si>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</si>
  <si>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</si>
  <si>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</si>
  <si>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</si>
  <si>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</si>
  <si>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</si>
  <si>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</si>
  <si>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</si>
  <si>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</si>
  <si>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</si>
  <si>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</si>
  <si>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</si>
  <si>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</si>
  <si>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</si>
  <si>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</si>
  <si>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</si>
  <si>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</si>
  <si>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</si>
  <si>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</si>
  <si>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</si>
  <si>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</si>
  <si>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</si>
  <si>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</si>
  <si>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</si>
  <si>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</si>
  <si>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</si>
  <si>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</si>
  <si>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</si>
  <si>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</si>
  <si>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</si>
  <si>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</si>
  <si>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</si>
  <si>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</si>
  <si>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</si>
  <si>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</si>
  <si>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</si>
  <si>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</si>
  <si>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</si>
  <si>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</si>
  <si>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</si>
  <si>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</si>
  <si>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</si>
  <si>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</si>
  <si>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</si>
  <si>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</si>
  <si>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</si>
  <si>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</si>
  <si>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</si>
  <si>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</si>
  <si>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</si>
  <si>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</si>
  <si>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</si>
  <si>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</si>
  <si>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</si>
  <si>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</si>
  <si>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</si>
  <si>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</si>
  <si>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</si>
  <si>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</si>
  <si>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</si>
  <si>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</si>
  <si>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</si>
  <si>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</si>
  <si>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</si>
  <si>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</si>
  <si>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</si>
  <si>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</si>
  <si>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</si>
  <si>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</si>
  <si>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</si>
  <si>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</si>
  <si>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</si>
  <si>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</si>
  <si>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</si>
  <si>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</si>
  <si>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</si>
  <si>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</si>
  <si>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</si>
  <si>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</si>
  <si>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</si>
  <si>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</si>
  <si>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</si>
  <si>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</si>
  <si>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</si>
  <si>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</si>
  <si>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</si>
  <si>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</si>
  <si>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</si>
  <si>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</si>
  <si>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</si>
  <si>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</si>
  <si>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</si>
  <si>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</si>
  <si>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</si>
  <si>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</si>
  <si>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</si>
  <si>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</si>
  <si>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</si>
  <si>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</si>
  <si>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</si>
  <si>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</si>
  <si>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</si>
  <si>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</si>
  <si>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</si>
  <si>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</si>
  <si>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</si>
  <si>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</si>
  <si>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</si>
  <si>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</si>
  <si>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</si>
  <si>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</si>
  <si>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</si>
  <si>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</si>
  <si>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</si>
  <si>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</si>
  <si>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</si>
  <si>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</si>
  <si>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</si>
  <si>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</si>
  <si>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</si>
  <si>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</si>
  <si>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</si>
  <si>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</si>
  <si>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</si>
  <si>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</si>
  <si>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</si>
  <si>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</si>
  <si>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</si>
  <si>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</si>
  <si>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</si>
  <si>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</si>
  <si>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</si>
  <si>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</si>
  <si>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</si>
  <si>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</si>
  <si>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</si>
  <si>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</si>
  <si>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</si>
  <si>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</si>
  <si>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</si>
  <si>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</si>
  <si>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</si>
  <si>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</si>
  <si>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</si>
  <si>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</si>
  <si>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</si>
  <si>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</si>
  <si>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</si>
  <si>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</si>
  <si>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</si>
  <si>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</si>
  <si>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</si>
  <si>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</si>
  <si>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</si>
  <si>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</si>
  <si>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</si>
  <si>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</si>
  <si>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</si>
  <si>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</si>
  <si>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</si>
  <si>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</si>
  <si>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</si>
  <si>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</si>
  <si>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</si>
  <si>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</si>
  <si>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</si>
  <si>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</si>
  <si>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</si>
  <si>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</si>
  <si>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</si>
  <si>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</si>
  <si>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</si>
  <si>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</si>
  <si>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</si>
  <si>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</si>
  <si>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</si>
  <si>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</si>
  <si>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</si>
  <si>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</si>
  <si>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</si>
  <si>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</si>
  <si>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</si>
  <si>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</si>
  <si>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</si>
  <si>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</si>
  <si>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</si>
  <si>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</si>
  <si>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</si>
  <si>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</si>
  <si>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</si>
  <si>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</si>
  <si>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</si>
  <si>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</si>
  <si>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</si>
  <si>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</si>
  <si>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</si>
  <si>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</si>
  <si>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</si>
  <si>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</si>
  <si>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</si>
  <si>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</si>
  <si>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</si>
  <si>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</si>
  <si>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</si>
  <si>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</si>
  <si>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</si>
  <si>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</si>
  <si>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</si>
  <si>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</si>
  <si>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</si>
  <si>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</si>
  <si>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</si>
  <si>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</si>
  <si>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</si>
  <si>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</si>
  <si>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</si>
  <si>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</si>
  <si>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</si>
  <si>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</si>
  <si>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</si>
  <si>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</si>
  <si>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</si>
  <si>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</si>
  <si>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</si>
  <si>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</si>
  <si>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</si>
  <si>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</si>
  <si>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</si>
  <si>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</si>
  <si>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</si>
  <si>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</si>
  <si>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</si>
  <si>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</si>
  <si>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</si>
  <si>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</si>
  <si>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</si>
  <si>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</si>
  <si>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</si>
  <si>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</si>
  <si>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</si>
  <si>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</si>
  <si>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</si>
  <si>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</si>
  <si>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</si>
  <si>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</si>
  <si>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</si>
  <si>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</si>
  <si>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</si>
  <si>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</si>
  <si>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</si>
  <si>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</si>
  <si>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</si>
  <si>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</si>
  <si>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</si>
  <si>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</si>
  <si>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</si>
  <si>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</si>
  <si>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</si>
  <si>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</si>
  <si>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</si>
  <si>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</si>
  <si>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</si>
  <si>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</si>
  <si>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</si>
  <si>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</si>
  <si>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</si>
  <si>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</si>
  <si>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</si>
  <si>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</si>
  <si>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</si>
  <si>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</si>
  <si>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</si>
  <si>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</si>
  <si>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</si>
  <si>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</si>
  <si>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</si>
  <si>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</si>
  <si>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</si>
  <si>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</si>
  <si>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</si>
  <si>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</si>
  <si>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</si>
  <si>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</si>
  <si>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</si>
  <si>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</si>
  <si>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</si>
  <si>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</si>
  <si>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</si>
  <si>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</si>
  <si>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</si>
  <si>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</si>
  <si>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</si>
  <si>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</si>
  <si>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</si>
  <si>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</si>
  <si>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</si>
  <si>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</si>
  <si>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</si>
  <si>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</si>
  <si>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</si>
  <si>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</si>
  <si>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</si>
  <si>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</si>
  <si>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</si>
  <si>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</si>
  <si>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</si>
  <si>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</si>
  <si>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</si>
  <si>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</si>
  <si>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</si>
  <si>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</si>
  <si>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</si>
  <si>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</si>
  <si>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</si>
  <si>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</si>
  <si>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</si>
  <si>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</si>
  <si>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</si>
  <si>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</si>
  <si>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</si>
  <si>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</si>
  <si>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</si>
  <si>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</si>
  <si>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</si>
  <si>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</si>
  <si>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</si>
  <si>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</si>
  <si>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</si>
  <si>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</si>
  <si>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</si>
  <si>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</si>
  <si>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</si>
  <si>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</si>
  <si>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</si>
  <si>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</si>
  <si>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</si>
  <si>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</si>
  <si>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</si>
  <si>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</si>
  <si>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</si>
  <si>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</si>
  <si>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</si>
  <si>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</si>
  <si>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</si>
  <si>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</si>
  <si>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</si>
  <si>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</si>
  <si>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</si>
  <si>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</si>
  <si>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</si>
  <si>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</si>
  <si>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</si>
  <si>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</si>
  <si>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</si>
  <si>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</si>
  <si>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</si>
  <si>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</si>
  <si>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</si>
  <si>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</si>
  <si>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</si>
  <si>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</si>
  <si>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</si>
  <si>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</si>
  <si>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</si>
  <si>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</si>
  <si>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</si>
  <si>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</si>
  <si>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</si>
  <si>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</si>
  <si>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</si>
  <si>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</si>
  <si>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</si>
  <si>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</si>
  <si>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</si>
  <si>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</si>
  <si>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</si>
  <si>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</si>
  <si>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</si>
  <si>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</si>
  <si>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</si>
  <si>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</si>
  <si>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</si>
  <si>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</si>
  <si>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</si>
  <si>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</si>
  <si>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</si>
  <si>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</si>
  <si>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</si>
  <si>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</si>
  <si>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</si>
  <si>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</si>
  <si>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</si>
  <si>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</si>
  <si>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</si>
  <si>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</si>
  <si>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</si>
  <si>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</si>
  <si>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</si>
  <si>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</si>
  <si>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</si>
  <si>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</si>
  <si>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</si>
  <si>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</si>
  <si>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</si>
  <si>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</si>
  <si>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</si>
  <si>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</si>
  <si>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</si>
  <si>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</si>
  <si>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</si>
  <si>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</si>
  <si>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</si>
  <si>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</si>
  <si>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</si>
  <si>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</si>
  <si>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</si>
  <si>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</si>
  <si>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</si>
  <si>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</si>
  <si>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</si>
  <si>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</si>
  <si>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</si>
  <si>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</si>
  <si>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</si>
  <si>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</si>
  <si>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</si>
  <si>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</si>
  <si>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</si>
  <si>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</si>
  <si>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</si>
  <si>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</si>
  <si>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</si>
  <si>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</si>
  <si>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</si>
  <si>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</si>
  <si>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</si>
  <si>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</si>
  <si>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</si>
  <si>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</si>
  <si>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</si>
  <si>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</si>
  <si>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</si>
  <si>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</si>
  <si>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</si>
  <si>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</si>
  <si>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</si>
  <si>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</si>
  <si>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</si>
  <si>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</si>
  <si>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</si>
  <si>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</si>
  <si>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</si>
  <si>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</si>
  <si>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</si>
  <si>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</si>
  <si>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</si>
  <si>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</si>
  <si>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</si>
  <si>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</si>
  <si>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</si>
  <si>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</si>
  <si>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</si>
  <si>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</si>
  <si>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</si>
  <si>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</si>
  <si>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</si>
  <si>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</si>
  <si>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</si>
  <si>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</si>
  <si>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</si>
  <si>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</si>
  <si>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</si>
  <si>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</si>
  <si>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</si>
  <si>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</si>
  <si>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</si>
  <si>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</si>
  <si>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</si>
  <si>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</si>
  <si>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</si>
  <si>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</si>
  <si>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</si>
  <si>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</si>
  <si>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</si>
  <si>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</si>
  <si>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</si>
  <si>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</si>
  <si>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</si>
  <si>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</si>
  <si>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</si>
  <si>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</si>
  <si>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</si>
  <si>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</si>
  <si>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</si>
  <si>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</si>
  <si>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</si>
  <si>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</si>
  <si>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</si>
  <si>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</si>
  <si>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</si>
  <si>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</si>
  <si>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</si>
  <si>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</si>
  <si>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</si>
  <si>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</si>
  <si>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</si>
  <si>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</si>
  <si>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</si>
  <si>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</si>
  <si>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</si>
  <si>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</si>
  <si>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</si>
  <si>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</si>
  <si>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</si>
  <si>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</si>
  <si>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</si>
  <si>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</si>
  <si>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</si>
  <si>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</si>
  <si>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</si>
  <si>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</si>
  <si>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</si>
  <si>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</si>
  <si>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</si>
  <si>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</si>
  <si>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</si>
  <si>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</si>
  <si>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</si>
  <si>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</si>
  <si>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</si>
  <si>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</si>
  <si>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</si>
  <si>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</si>
  <si>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</si>
  <si>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</si>
  <si>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</si>
  <si>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</si>
  <si>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</si>
  <si>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</si>
  <si>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</si>
  <si>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</si>
  <si>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</si>
  <si>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</si>
  <si>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</si>
  <si>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</si>
  <si>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</si>
  <si>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</si>
  <si>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</si>
  <si>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</si>
  <si>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</si>
  <si>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</si>
  <si>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</si>
  <si>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</si>
  <si>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</si>
  <si>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</si>
  <si>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</si>
  <si>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</si>
  <si>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</si>
  <si>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</si>
  <si>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</si>
  <si>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</si>
  <si>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</si>
  <si>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</si>
  <si>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</si>
  <si>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</si>
  <si>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</si>
  <si>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</si>
  <si>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</si>
  <si>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</si>
  <si>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</si>
  <si>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</si>
  <si>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</si>
  <si>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</si>
  <si>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</si>
  <si>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</si>
  <si>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</si>
  <si>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</si>
  <si>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</si>
  <si>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</si>
  <si>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</si>
  <si>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</si>
  <si>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</si>
  <si>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</si>
  <si>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</si>
  <si>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</si>
  <si>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</si>
  <si>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</si>
  <si>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</si>
  <si>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</si>
  <si>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</si>
  <si>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</si>
  <si>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</si>
  <si>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</si>
  <si>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</si>
  <si>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</si>
  <si>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</si>
  <si>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</si>
  <si>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</si>
  <si>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</si>
  <si>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</si>
  <si>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</si>
  <si>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</si>
  <si>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</si>
  <si>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</si>
  <si>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</si>
  <si>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</si>
  <si>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</si>
  <si>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</si>
  <si>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</si>
  <si>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</si>
  <si>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</si>
  <si>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</si>
  <si>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</si>
  <si>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</si>
  <si>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</si>
  <si>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</si>
  <si>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</si>
  <si>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</si>
  <si>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</si>
  <si>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</si>
  <si>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</si>
  <si>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</si>
  <si>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</si>
  <si>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</si>
  <si>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</si>
  <si>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</si>
  <si>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</si>
  <si>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</si>
  <si>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</si>
  <si>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</si>
  <si>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</si>
  <si>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</si>
  <si>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</si>
  <si>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</si>
  <si>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</si>
  <si>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</si>
  <si>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</si>
  <si>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</si>
  <si>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</si>
  <si>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</si>
  <si>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</si>
  <si>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</si>
  <si>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</si>
  <si>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</si>
  <si>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</si>
  <si>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</si>
  <si>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</si>
  <si>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</si>
  <si>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</si>
  <si>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</si>
  <si>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</si>
  <si>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</si>
  <si>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</si>
  <si>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</si>
  <si>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</si>
  <si>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</si>
  <si>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</si>
  <si>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</si>
  <si>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</si>
  <si>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</si>
  <si>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</si>
  <si>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</si>
  <si>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</si>
  <si>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</si>
  <si>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</si>
  <si>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</si>
  <si>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</si>
  <si>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</si>
  <si>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</si>
  <si>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</si>
  <si>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</si>
  <si>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</si>
  <si>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</si>
  <si>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</si>
  <si>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</si>
  <si>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</si>
  <si>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</si>
  <si>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</si>
  <si>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</si>
  <si>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</si>
  <si>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</si>
  <si>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</si>
  <si>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</si>
  <si>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</si>
  <si>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</si>
  <si>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</si>
  <si>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</si>
  <si>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</si>
  <si>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</si>
  <si>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</si>
  <si>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</si>
  <si>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</si>
  <si>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</si>
  <si>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</si>
  <si>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</si>
  <si>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</si>
  <si>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</si>
  <si>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</si>
  <si>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</si>
  <si>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</si>
  <si>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</si>
  <si>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</si>
  <si>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</si>
  <si>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</si>
  <si>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</si>
  <si>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</si>
  <si>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</si>
  <si>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</si>
  <si>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</si>
  <si>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</si>
  <si>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</si>
  <si>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</si>
  <si>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</si>
  <si>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</si>
  <si>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</si>
  <si>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</si>
  <si>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</si>
  <si>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</si>
  <si>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</si>
  <si>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</si>
  <si>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</si>
  <si>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</si>
  <si>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</si>
  <si>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</si>
  <si>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</si>
  <si>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</si>
  <si>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</si>
  <si>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</si>
  <si>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</si>
  <si>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</si>
  <si>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</si>
  <si>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</si>
  <si>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</si>
  <si>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</si>
  <si>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</si>
  <si>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</si>
  <si>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</si>
  <si>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</si>
  <si>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</si>
  <si>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</si>
  <si>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</si>
  <si>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</si>
  <si>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</si>
  <si>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</si>
  <si>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</si>
  <si>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</si>
  <si>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</si>
  <si>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</si>
  <si>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</si>
  <si>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</si>
  <si>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</si>
  <si>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</si>
  <si>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</si>
  <si>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</si>
  <si>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</si>
  <si>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</si>
  <si>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</si>
  <si>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</si>
  <si>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</si>
  <si>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</si>
  <si>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</si>
  <si>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</si>
  <si>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</si>
  <si>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</si>
  <si>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</si>
  <si>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</si>
  <si>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</si>
  <si>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</si>
  <si>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</si>
  <si>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</si>
  <si>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</si>
  <si>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</si>
  <si>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</si>
  <si>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</si>
  <si>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</si>
  <si>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</si>
  <si>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</si>
  <si>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</si>
  <si>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</si>
  <si>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</si>
  <si>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</si>
  <si>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</si>
  <si>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</si>
  <si>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</si>
  <si>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</si>
  <si>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</si>
  <si>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</si>
  <si>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</si>
  <si>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</si>
  <si>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</si>
  <si>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</si>
  <si>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</si>
  <si>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</si>
  <si>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</si>
  <si>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</si>
  <si>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</si>
  <si>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</si>
  <si>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</si>
  <si>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</si>
  <si>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</si>
  <si>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</si>
  <si>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</si>
  <si>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</si>
  <si>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</si>
  <si>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</si>
  <si>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</si>
  <si>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</si>
  <si>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</si>
  <si>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</si>
  <si>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</si>
  <si>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</si>
  <si>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</si>
  <si>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</si>
  <si>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</si>
  <si>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</si>
  <si>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</si>
  <si>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</si>
  <si>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</si>
  <si>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</si>
  <si>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</si>
  <si>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</si>
  <si>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</si>
  <si>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</si>
  <si>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</si>
  <si>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</si>
  <si>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</si>
  <si>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</si>
  <si>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</si>
  <si>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</si>
  <si>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</si>
  <si>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</si>
  <si>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</si>
  <si>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</si>
  <si>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</si>
  <si>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</si>
  <si>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</si>
  <si>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</si>
  <si>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</si>
  <si>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</si>
  <si>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</si>
  <si>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</si>
  <si>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</si>
  <si>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</si>
  <si>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</si>
  <si>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</si>
  <si>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</si>
  <si>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</si>
  <si>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</si>
  <si>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</si>
  <si>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</si>
  <si>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</si>
  <si>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</si>
  <si>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</si>
  <si>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</si>
  <si>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</si>
  <si>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</si>
  <si>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</si>
  <si>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</si>
  <si>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</si>
  <si>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</si>
  <si>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</si>
  <si>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</si>
  <si>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</si>
  <si>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</si>
  <si>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</si>
  <si>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</si>
  <si>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</si>
  <si>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</si>
  <si>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</si>
  <si>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</si>
  <si>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</si>
  <si>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</si>
  <si>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</si>
  <si>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</si>
  <si>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</si>
  <si>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</si>
  <si>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</si>
  <si>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</si>
  <si>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</si>
  <si>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</si>
  <si>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</si>
  <si>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</si>
  <si>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</si>
  <si>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</si>
  <si>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</si>
  <si>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</si>
  <si>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</si>
  <si>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</si>
  <si>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</si>
  <si>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</si>
  <si>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</si>
  <si>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</si>
  <si>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</si>
  <si>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</si>
  <si>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</si>
  <si>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</si>
  <si>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</si>
  <si>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</si>
  <si>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</si>
  <si>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</si>
  <si>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</si>
  <si>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</si>
  <si>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</si>
  <si>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</si>
  <si>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</si>
  <si>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</si>
  <si>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</si>
  <si>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</si>
  <si>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</si>
  <si>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</si>
  <si>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</si>
  <si>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</si>
  <si>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</si>
  <si>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</si>
  <si>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</si>
  <si>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</si>
  <si>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</si>
  <si>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</si>
  <si>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</si>
  <si>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</si>
  <si>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</si>
  <si>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</si>
  <si>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</si>
  <si>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</si>
  <si>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</si>
  <si>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</si>
  <si>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</si>
  <si>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</si>
  <si>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</si>
  <si>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</si>
  <si>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</si>
  <si>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</si>
  <si>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</si>
  <si>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</si>
  <si>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</si>
  <si>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</si>
  <si>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</si>
  <si>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</si>
  <si>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</si>
  <si>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</si>
  <si>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</si>
  <si>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</si>
  <si>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</si>
  <si>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</si>
  <si>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</si>
  <si>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</si>
  <si>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</si>
  <si>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</si>
  <si>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</si>
  <si>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</si>
  <si>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</si>
  <si>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</si>
  <si>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</si>
  <si>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</si>
  <si>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</si>
  <si>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</si>
  <si>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</si>
  <si>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</si>
  <si>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</si>
  <si>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</si>
  <si>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</si>
  <si>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</si>
  <si>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</si>
  <si>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</si>
  <si>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</si>
  <si>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</si>
  <si>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</si>
  <si>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</si>
  <si>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</si>
  <si>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</si>
  <si>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</si>
  <si>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</si>
  <si>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</si>
  <si>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</si>
  <si>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</si>
  <si>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</si>
  <si>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</si>
  <si>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</si>
  <si>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</si>
  <si>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</si>
  <si>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</si>
  <si>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</si>
  <si>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</si>
  <si>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</si>
  <si>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</si>
  <si>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</si>
  <si>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</si>
  <si>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</si>
  <si>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</si>
  <si>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</si>
  <si>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</si>
  <si>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</si>
  <si>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</si>
  <si>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</si>
  <si>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</si>
  <si>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</si>
  <si>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</si>
  <si>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</si>
  <si>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</si>
  <si>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</si>
  <si>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</si>
  <si>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</si>
  <si>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</si>
  <si>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</si>
  <si>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</si>
  <si>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</si>
  <si>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</si>
  <si>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</si>
  <si>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</si>
  <si>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</si>
  <si>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</si>
  <si>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</si>
  <si>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</si>
  <si>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</si>
  <si>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</si>
  <si>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</si>
  <si>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</si>
  <si>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</si>
  <si>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</si>
  <si>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</si>
  <si>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</si>
  <si>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</si>
  <si>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</si>
  <si>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</si>
  <si>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</si>
  <si>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</si>
  <si>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</si>
  <si>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</si>
  <si>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</si>
  <si>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</si>
  <si>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</si>
  <si>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</si>
  <si>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</si>
  <si>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</si>
  <si>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</si>
  <si>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</si>
  <si>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</si>
  <si>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</si>
  <si>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</si>
  <si>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</si>
  <si>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</si>
  <si>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</si>
  <si>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</si>
  <si>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</si>
  <si>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</si>
  <si>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</si>
  <si>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</si>
  <si>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</si>
  <si>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</si>
  <si>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</si>
  <si>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</si>
  <si>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</si>
  <si>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</si>
  <si>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</si>
  <si>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</si>
  <si>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</si>
  <si>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</si>
  <si>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</si>
  <si>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</si>
  <si>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</si>
  <si>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</si>
  <si>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</si>
  <si>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</si>
  <si>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</si>
  <si>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</si>
  <si>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</si>
  <si>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</si>
  <si>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</si>
  <si>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</si>
  <si>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</si>
  <si>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</si>
  <si>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</si>
  <si>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</si>
  <si>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</si>
  <si>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</si>
  <si>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</si>
  <si>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</si>
  <si>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</si>
  <si>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</si>
  <si>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</si>
  <si>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</si>
  <si>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</si>
  <si>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</si>
  <si>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</si>
  <si>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</si>
  <si>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</si>
  <si>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</si>
  <si>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</si>
  <si>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</si>
  <si>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</si>
  <si>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</si>
  <si>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</si>
  <si>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</si>
  <si>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</si>
  <si>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</si>
  <si>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</si>
  <si>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</si>
  <si>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</si>
  <si>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</si>
  <si>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</si>
  <si>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</si>
  <si>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</si>
  <si>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</si>
  <si>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</si>
  <si>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</si>
  <si>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</si>
  <si>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</si>
  <si>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</si>
  <si>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</si>
  <si>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</si>
  <si>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</si>
  <si>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</si>
  <si>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</si>
  <si>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</si>
  <si>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</si>
  <si>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</si>
  <si>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</si>
  <si>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</si>
  <si>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</si>
  <si>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</si>
  <si>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</si>
  <si>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</si>
  <si>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</si>
  <si>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</si>
  <si>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</si>
  <si>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</si>
  <si>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</si>
  <si>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</si>
  <si>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</si>
  <si>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</si>
  <si>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</si>
  <si>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</si>
  <si>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</si>
  <si>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</si>
  <si>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</si>
  <si>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</si>
  <si>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</si>
  <si>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</si>
  <si>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</si>
  <si>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</si>
  <si>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</si>
  <si>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</si>
  <si>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</si>
  <si>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</si>
  <si>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</si>
  <si>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</si>
  <si>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</si>
  <si>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</si>
  <si>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</si>
  <si>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</si>
  <si>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</si>
  <si>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</si>
  <si>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</si>
  <si>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</si>
  <si>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</si>
  <si>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</si>
  <si>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</si>
  <si>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</si>
  <si>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</si>
  <si>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</si>
  <si>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</si>
  <si>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</si>
  <si>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</si>
  <si>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</si>
  <si>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</si>
  <si>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</si>
  <si>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</si>
  <si>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</si>
  <si>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</si>
  <si>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</si>
  <si>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</si>
  <si>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</si>
  <si>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</si>
  <si>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</si>
  <si>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</si>
  <si>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</si>
  <si>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</si>
  <si>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</si>
  <si>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</si>
  <si>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</si>
  <si>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</si>
  <si>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</si>
  <si>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</si>
  <si>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</si>
  <si>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</si>
  <si>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</si>
  <si>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</si>
  <si>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</si>
  <si>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</si>
  <si>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</si>
  <si>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</si>
  <si>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</si>
  <si>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</si>
  <si>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</si>
  <si>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</si>
  <si>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</si>
  <si>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</si>
  <si>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</si>
  <si>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</si>
  <si>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</si>
  <si>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</si>
  <si>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</si>
  <si>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</si>
  <si>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</si>
  <si>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</si>
  <si>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</si>
  <si>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</si>
  <si>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</si>
  <si>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</si>
  <si>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</si>
  <si>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</si>
  <si>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</si>
  <si>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</si>
  <si>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</si>
  <si>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</si>
  <si>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</si>
  <si>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</si>
  <si>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</si>
  <si>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</si>
  <si>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</si>
  <si>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</si>
  <si>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</si>
  <si>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</si>
  <si>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</si>
  <si>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</si>
  <si>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</si>
  <si>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</si>
  <si>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</si>
  <si>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</si>
  <si>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</si>
  <si>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</si>
  <si>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</si>
  <si>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</si>
  <si>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</si>
  <si>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</si>
  <si>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</si>
  <si>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</si>
  <si>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</si>
  <si>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</si>
  <si>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</si>
  <si>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</si>
  <si>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</si>
  <si>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</si>
  <si>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</si>
  <si>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</si>
  <si>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</si>
  <si>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</si>
  <si>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</si>
  <si>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</si>
  <si>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</si>
  <si>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</si>
  <si>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</si>
  <si>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</si>
  <si>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</si>
  <si>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</si>
  <si>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</si>
  <si>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</si>
  <si>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</si>
  <si>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</si>
  <si>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</si>
  <si>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</si>
  <si>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</si>
  <si>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</si>
  <si>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</si>
  <si>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</si>
  <si>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</si>
  <si>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</si>
  <si>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</si>
  <si>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</si>
  <si>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</si>
  <si>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</si>
  <si>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</si>
  <si>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</si>
  <si>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</si>
  <si>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</si>
  <si>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</si>
  <si>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</si>
  <si>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</si>
  <si>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</si>
  <si>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</si>
  <si>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</si>
  <si>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</si>
  <si>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</si>
  <si>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</si>
  <si>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</si>
  <si>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</si>
  <si>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</si>
  <si>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</si>
  <si>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</si>
  <si>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</si>
  <si>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</si>
  <si>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</si>
  <si>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</si>
  <si>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</si>
  <si>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</si>
  <si>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</si>
  <si>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</si>
  <si>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</si>
  <si>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</si>
  <si>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</si>
  <si>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</si>
  <si>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</si>
  <si>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</si>
  <si>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</si>
  <si>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</si>
  <si>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</si>
  <si>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</si>
  <si>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</si>
  <si>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</si>
  <si>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</si>
  <si>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</si>
  <si>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</si>
  <si>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</si>
  <si>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</si>
  <si>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</si>
  <si>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</si>
  <si>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</si>
  <si>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</si>
  <si>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</si>
  <si>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</si>
  <si>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</si>
  <si>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</si>
  <si>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</si>
  <si>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</si>
  <si>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</si>
  <si>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</si>
  <si>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</si>
  <si>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</si>
  <si>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</si>
  <si>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</si>
  <si>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</si>
  <si>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</si>
  <si>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</si>
  <si>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</si>
  <si>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</si>
  <si>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</si>
  <si>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</si>
  <si>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</si>
  <si>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</si>
  <si>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</si>
  <si>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</si>
  <si>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</si>
  <si>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</si>
  <si>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</si>
  <si>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</si>
  <si>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</si>
  <si>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</si>
  <si>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</si>
  <si>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</si>
  <si>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</si>
  <si>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</si>
  <si>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</si>
  <si>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</si>
  <si>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</si>
  <si>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</si>
  <si>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</si>
  <si>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</si>
  <si>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</si>
  <si>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</si>
  <si>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</si>
  <si>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</si>
  <si>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</si>
  <si>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</si>
  <si>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</si>
  <si>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</si>
  <si>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</si>
  <si>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</si>
  <si>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</si>
  <si>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</si>
  <si>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</si>
  <si>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</si>
  <si>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</si>
  <si>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</si>
  <si>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</si>
  <si>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</si>
  <si>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</si>
  <si>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</si>
  <si>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</si>
  <si>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</si>
  <si>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</si>
  <si>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</si>
  <si>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</si>
  <si>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</si>
  <si>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</si>
  <si>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</si>
  <si>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</si>
  <si>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</si>
  <si>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</si>
  <si>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</si>
  <si>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</si>
  <si>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</si>
  <si>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</si>
  <si>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</si>
  <si>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</si>
  <si>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</si>
  <si>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</si>
  <si>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</si>
  <si>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</si>
  <si>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</si>
  <si>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</si>
  <si>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</si>
  <si>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</si>
  <si>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</si>
  <si>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</si>
  <si>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</si>
  <si>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</si>
  <si>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</si>
  <si>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</si>
  <si>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</si>
  <si>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</si>
  <si>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</si>
  <si>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</si>
  <si>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</si>
  <si>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</si>
  <si>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</si>
  <si>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</si>
  <si>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</si>
  <si>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</si>
  <si>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</si>
  <si>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</si>
  <si>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</si>
  <si>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</si>
  <si>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</si>
  <si>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</si>
  <si>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</si>
  <si>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</si>
  <si>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</si>
  <si>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</si>
  <si>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</si>
  <si>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</si>
  <si>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</si>
  <si>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</si>
  <si>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</si>
  <si>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</si>
  <si>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</si>
  <si>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</si>
  <si>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</si>
  <si>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</si>
  <si>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</si>
  <si>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</si>
  <si>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</si>
  <si>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</si>
  <si>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</si>
  <si>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</si>
  <si>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01331981</t>
  </si>
  <si>
    <t>61539263602</t>
  </si>
  <si>
    <t>070048488</t>
  </si>
  <si>
    <t>REDEA d.o.o.</t>
  </si>
  <si>
    <t>ČAKOVEC</t>
  </si>
  <si>
    <t>Bana Josipa Jelačića 22</t>
  </si>
  <si>
    <t>DA</t>
  </si>
  <si>
    <t>Kanižaj Nada</t>
  </si>
  <si>
    <t>040364037</t>
  </si>
  <si>
    <t>040364885</t>
  </si>
  <si>
    <t>rin-commerce@ck.t-com.hr</t>
  </si>
  <si>
    <t>POLANEC MARINOVIĆ SANDRA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</si>
</sst>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169734.6</v>
      </c>
      <c r="I3" s="27">
        <f>ABS(ROUND(J3,0)-J3)+ABS(ROUND(K3,0)-K3)</f>
        <v>0</v>
      </c>
      <c r="J3" s="75">
        <f>Bilanca!K11</f>
        <v>2464962</v>
      </c>
      <c r="K3" s="76">
        <f>Bilanca!L11</f>
        <v>3010884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3849.99</v>
      </c>
      <c r="I4" s="77">
        <f>ABS(ROUND(J4,0)-J4)+ABS(ROUND(K4,0)-K4)</f>
        <v>0</v>
      </c>
      <c r="J4" s="75">
        <f>Bilanca!K12</f>
        <v>128333</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01331981</v>
      </c>
      <c r="C6" s="27"/>
      <c r="D6" s="27" t="s">
        <v>2272</v>
      </c>
      <c r="E6" s="27">
        <v>1</v>
      </c>
      <c r="F6" s="27">
        <f>Bilanca!I14</f>
        <v>5</v>
      </c>
      <c r="G6" s="27">
        <f>IF(Bilanca!J14=0,"",Bilanca!J14)</f>
      </c>
      <c r="H6" s="224">
        <f t="shared" si="1"/>
        <v>6416.65</v>
      </c>
      <c r="I6" s="77">
        <f t="shared" si="2"/>
        <v>0</v>
      </c>
      <c r="J6" s="75">
        <f>Bilanca!K14</f>
        <v>128333</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070048488</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61539263602</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REDEA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40000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ČAKOVEC</v>
      </c>
      <c r="C11" s="27"/>
      <c r="D11" s="27" t="s">
        <v>2272</v>
      </c>
      <c r="E11" s="27">
        <v>1</v>
      </c>
      <c r="F11" s="27">
        <f>Bilanca!I19</f>
        <v>10</v>
      </c>
      <c r="G11" s="27">
        <f>IF(Bilanca!J19=0,"",Bilanca!J19)</f>
      </c>
      <c r="H11" s="224">
        <f t="shared" si="1"/>
        <v>9404.5</v>
      </c>
      <c r="I11" s="27">
        <f t="shared" si="2"/>
        <v>0</v>
      </c>
      <c r="J11" s="75">
        <f>Bilanca!K19</f>
        <v>66077</v>
      </c>
      <c r="K11" s="76">
        <f>Bilanca!L19</f>
        <v>13984</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Bana Josipa Jelačića 22</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f>TRIM(Opci!C31)</f>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20</v>
      </c>
      <c r="C15" s="27"/>
      <c r="D15" s="27" t="s">
        <v>2272</v>
      </c>
      <c r="E15" s="27">
        <v>1</v>
      </c>
      <c r="F15" s="27">
        <f>Bilanca!I23</f>
        <v>14</v>
      </c>
      <c r="G15" s="27">
        <f>IF(Bilanca!J23=0,"",Bilanca!J23)</f>
      </c>
      <c r="H15" s="224">
        <f t="shared" si="1"/>
        <v>13166.3</v>
      </c>
      <c r="I15" s="27">
        <f t="shared" si="2"/>
        <v>0</v>
      </c>
      <c r="J15" s="75">
        <f>Bilanca!K23</f>
        <v>66077</v>
      </c>
      <c r="K15" s="76">
        <f>Bilanca!L23</f>
        <v>13984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060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7022</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1629600</v>
      </c>
      <c r="I21" s="27">
        <f t="shared" si="2"/>
        <v>0</v>
      </c>
      <c r="J21" s="75">
        <f>Bilanca!K29</f>
        <v>2154200</v>
      </c>
      <c r="K21" s="76">
        <f>Bilanca!L29</f>
        <v>2996900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746373</v>
      </c>
      <c r="I24" s="77">
        <f t="shared" si="2"/>
        <v>0</v>
      </c>
      <c r="J24" s="75">
        <f>Bilanca!K32</f>
        <v>1081700</v>
      </c>
      <c r="K24" s="76">
        <f>Bilanca!L32</f>
        <v>1081700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12</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13</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12</v>
      </c>
      <c r="C27" s="27"/>
      <c r="D27" s="27" t="s">
        <v>2272</v>
      </c>
      <c r="E27" s="27">
        <v>1</v>
      </c>
      <c r="F27" s="27">
        <f>Bilanca!I35</f>
        <v>26</v>
      </c>
      <c r="G27" s="27">
        <f>IF(Bilanca!J35=0,"",Bilanca!J35)</f>
      </c>
      <c r="H27" s="224">
        <f t="shared" si="1"/>
        <v>1274754</v>
      </c>
      <c r="I27" s="27">
        <f t="shared" si="2"/>
        <v>0</v>
      </c>
      <c r="J27" s="75">
        <f>Bilanca!K35</f>
        <v>1072500</v>
      </c>
      <c r="K27" s="76">
        <f>Bilanca!L35</f>
        <v>1915200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13</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33742.08</v>
      </c>
      <c r="I30" s="77">
        <f t="shared" si="2"/>
        <v>0</v>
      </c>
      <c r="J30" s="75">
        <f>Bilanca!K38</f>
        <v>116352</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37232.64</v>
      </c>
      <c r="I33" s="27">
        <f t="shared" si="2"/>
        <v>0</v>
      </c>
      <c r="J33" s="75">
        <f>Bilanca!K41</f>
        <v>116352</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1410181.28</v>
      </c>
      <c r="I35" s="27">
        <f t="shared" si="2"/>
        <v>0</v>
      </c>
      <c r="J35" s="75">
        <f>Bilanca!K43</f>
        <v>952870</v>
      </c>
      <c r="K35" s="76">
        <f>Bilanca!L43</f>
        <v>1597361</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Kanižaj Nada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040364037</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040364885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rin-commerce@ck.t-com.hr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POLANEC MARINOVIĆ SANDRA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941930.48</v>
      </c>
      <c r="I44" s="77">
        <f t="shared" si="2"/>
        <v>0</v>
      </c>
      <c r="J44" s="75">
        <f>Bilanca!K52</f>
        <v>801422</v>
      </c>
      <c r="K44" s="76">
        <f>Bilanca!L52</f>
        <v>694557</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46939.95</v>
      </c>
      <c r="I46" s="77">
        <f t="shared" si="4"/>
        <v>0</v>
      </c>
      <c r="J46" s="75">
        <f>Bilanca!K54</f>
        <v>52561</v>
      </c>
      <c r="K46" s="76">
        <f>Bilanca!L54</f>
        <v>25875</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501.96</v>
      </c>
      <c r="I48" s="77">
        <f t="shared" si="4"/>
        <v>0</v>
      </c>
      <c r="J48" s="75">
        <f>Bilanca!K56</f>
        <v>356</v>
      </c>
      <c r="K48" s="76">
        <f>Bilanca!L56</f>
        <v>356</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13411.680000000002</v>
      </c>
      <c r="I49" s="27">
        <f t="shared" si="4"/>
        <v>0</v>
      </c>
      <c r="J49" s="75">
        <f>Bilanca!K57</f>
        <v>837</v>
      </c>
      <c r="K49" s="76">
        <f>Bilanca!L57</f>
        <v>13552</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1008035.8400000001</v>
      </c>
      <c r="I50" s="77">
        <f t="shared" si="4"/>
        <v>0</v>
      </c>
      <c r="J50" s="75">
        <f>Bilanca!K58</f>
        <v>747668</v>
      </c>
      <c r="K50" s="76">
        <f>Bilanca!L58</f>
        <v>654774</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490631.00000000006</v>
      </c>
      <c r="I51" s="27">
        <f t="shared" si="4"/>
        <v>0</v>
      </c>
      <c r="J51" s="75">
        <f>Bilanca!K59</f>
        <v>0</v>
      </c>
      <c r="K51" s="76">
        <f>Bilanca!L59</f>
        <v>490631</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549506.7200000001</v>
      </c>
      <c r="I57" s="27">
        <f t="shared" si="4"/>
        <v>0</v>
      </c>
      <c r="J57" s="75">
        <f>Bilanca!K65</f>
        <v>0</v>
      </c>
      <c r="K57" s="76">
        <f>Bilanca!L65</f>
        <v>490631</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833920361.6800001</v>
      </c>
      <c r="C59" s="27"/>
      <c r="D59" s="27" t="s">
        <v>2272</v>
      </c>
      <c r="E59" s="27">
        <v>1</v>
      </c>
      <c r="F59" s="27">
        <f>Bilanca!I67</f>
        <v>58</v>
      </c>
      <c r="G59" s="27">
        <f>IF(Bilanca!J67=0,"",Bilanca!J67)</f>
      </c>
      <c r="H59" s="224">
        <f t="shared" si="3"/>
        <v>565960.5199999999</v>
      </c>
      <c r="I59" s="27">
        <f t="shared" si="4"/>
        <v>0</v>
      </c>
      <c r="J59" s="75">
        <f>Bilanca!K67</f>
        <v>151448</v>
      </c>
      <c r="K59" s="76">
        <f>Bilanca!L67</f>
        <v>412173</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31340.800000000003</v>
      </c>
      <c r="I60" s="77">
        <f t="shared" si="4"/>
        <v>0</v>
      </c>
      <c r="J60" s="75">
        <f>Bilanca!K68</f>
        <v>4510</v>
      </c>
      <c r="K60" s="76">
        <f>Bilanca!L68</f>
        <v>24305</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7612465.2</v>
      </c>
      <c r="I61" s="27">
        <f>ABS(ROUND(J61,0)-J61)+ABS(ROUND(K61,0)-K61)</f>
        <v>0</v>
      </c>
      <c r="J61" s="75">
        <f>Bilanca!K69</f>
        <v>3422342</v>
      </c>
      <c r="K61" s="76">
        <f>Bilanca!L69</f>
        <v>4632550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18900.239999999998</v>
      </c>
      <c r="I62" s="77">
        <f>ABS(ROUND(J62,0)-J62)+ABS(ROUND(K62,0)-K62)</f>
        <v>0</v>
      </c>
      <c r="J62" s="75">
        <f>Bilanca!K70</f>
        <v>10328</v>
      </c>
      <c r="K62" s="76">
        <f>Bilanca!L70</f>
        <v>10328</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2354537.42</v>
      </c>
      <c r="I63" s="27">
        <f>ABS(ROUND(J63,0)-J63)+ABS(ROUND(K63,0)-K63)</f>
        <v>0</v>
      </c>
      <c r="J63" s="75">
        <f>Bilanca!K72</f>
        <v>1251129</v>
      </c>
      <c r="K63" s="76">
        <f>Bilanca!L72</f>
        <v>1273256</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1640520</v>
      </c>
      <c r="I64" s="27">
        <f>ABS(ROUND(J64,0)-J64)+ABS(ROUND(K64,0)-K64)</f>
        <v>0</v>
      </c>
      <c r="J64" s="75">
        <f>Bilanca!K73</f>
        <v>868000</v>
      </c>
      <c r="K64" s="76">
        <f>Bilanca!L73</f>
        <v>868000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1755</v>
      </c>
      <c r="I66" s="27">
        <f t="shared" si="6"/>
        <v>0</v>
      </c>
      <c r="J66" s="75">
        <f>Bilanca!K75</f>
        <v>900</v>
      </c>
      <c r="K66" s="76">
        <f>Bilanca!L75</f>
        <v>900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1782</v>
      </c>
      <c r="I67" s="27">
        <f t="shared" si="6"/>
        <v>0</v>
      </c>
      <c r="J67" s="75">
        <f>Bilanca!K76</f>
        <v>900</v>
      </c>
      <c r="K67" s="76">
        <f>Bilanca!L76</f>
        <v>900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768900.9600000001</v>
      </c>
      <c r="I73" s="27">
        <f t="shared" si="6"/>
        <v>0</v>
      </c>
      <c r="J73" s="75">
        <f>Bilanca!K82</f>
        <v>303458</v>
      </c>
      <c r="K73" s="76">
        <f>Bilanca!L82</f>
        <v>382230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779580.14</v>
      </c>
      <c r="I74" s="27">
        <f t="shared" si="6"/>
        <v>0</v>
      </c>
      <c r="J74" s="75">
        <f>Bilanca!K83</f>
        <v>303458</v>
      </c>
      <c r="K74" s="76">
        <f>Bilanca!L83</f>
        <v>382230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92267.25</v>
      </c>
      <c r="I76" s="27">
        <f t="shared" si="6"/>
        <v>0</v>
      </c>
      <c r="J76" s="75">
        <f>Bilanca!K85</f>
        <v>78771</v>
      </c>
      <c r="K76" s="76">
        <f>Bilanca!L85</f>
        <v>22126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93497.48000000001</v>
      </c>
      <c r="I77" s="27">
        <f t="shared" si="6"/>
        <v>0</v>
      </c>
      <c r="J77" s="75">
        <f>Bilanca!K86</f>
        <v>78771</v>
      </c>
      <c r="K77" s="76">
        <f>Bilanca!L86</f>
        <v>22126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5681089.38</v>
      </c>
      <c r="I84" s="27">
        <f t="shared" si="6"/>
        <v>0</v>
      </c>
      <c r="J84" s="75">
        <f>Bilanca!K93</f>
        <v>1497904</v>
      </c>
      <c r="K84" s="76">
        <f>Bilanca!L93</f>
        <v>2673391</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143333.62</v>
      </c>
      <c r="I87" s="27">
        <f t="shared" si="6"/>
        <v>0</v>
      </c>
      <c r="J87" s="75">
        <f>Bilanca!K96</f>
        <v>166667</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6076997.29</v>
      </c>
      <c r="I92" s="27">
        <f t="shared" si="6"/>
        <v>0</v>
      </c>
      <c r="J92" s="75">
        <f>Bilanca!K101</f>
        <v>1331237</v>
      </c>
      <c r="K92" s="76">
        <f>Bilanca!L101</f>
        <v>2673391</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909238.6799999999</v>
      </c>
      <c r="I94" s="27">
        <f t="shared" si="6"/>
        <v>0</v>
      </c>
      <c r="J94" s="75">
        <f>Bilanca!K103</f>
        <v>340288</v>
      </c>
      <c r="K94" s="76">
        <f>Bilanca!L103</f>
        <v>318694</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51476.92999999999</v>
      </c>
      <c r="I98" s="27">
        <f t="shared" si="6"/>
        <v>0</v>
      </c>
      <c r="J98" s="75">
        <f>Bilanca!K107</f>
        <v>17223</v>
      </c>
      <c r="K98" s="76">
        <f>Bilanca!L107</f>
        <v>17923</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386857.94</v>
      </c>
      <c r="I99" s="27">
        <f aca="true" t="shared" si="9" ref="I99:I107">ABS(ROUND(J99,0)-J99)+ABS(ROUND(K99,0)-K99)</f>
        <v>0</v>
      </c>
      <c r="J99" s="75">
        <f>Bilanca!K108</f>
        <v>148141</v>
      </c>
      <c r="K99" s="76">
        <f>Bilanca!L108</f>
        <v>123306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276599.61</v>
      </c>
      <c r="I102" s="27">
        <f t="shared" si="9"/>
        <v>0</v>
      </c>
      <c r="J102" s="75">
        <f>Bilanca!K111</f>
        <v>86607</v>
      </c>
      <c r="K102" s="76">
        <f>Bilanca!L111</f>
        <v>93627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261112.86</v>
      </c>
      <c r="I103" s="27">
        <f t="shared" si="9"/>
        <v>0</v>
      </c>
      <c r="J103" s="75">
        <f>Bilanca!K112</f>
        <v>88317</v>
      </c>
      <c r="K103" s="76">
        <f>Bilanca!L112</f>
        <v>83838</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1131485.34</v>
      </c>
      <c r="I107" s="27">
        <f t="shared" si="9"/>
        <v>0</v>
      </c>
      <c r="J107" s="75">
        <f>Bilanca!K116</f>
        <v>333021</v>
      </c>
      <c r="K107" s="76">
        <f>Bilanca!L116</f>
        <v>367209</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13575562.94</v>
      </c>
      <c r="I108" s="27">
        <f aca="true" t="shared" si="11" ref="I108:I113">ABS(ROUND(J108,0)-J108)+ABS(ROUND(K108,0)-K108)</f>
        <v>0</v>
      </c>
      <c r="J108" s="75">
        <f>Bilanca!K117</f>
        <v>3422342</v>
      </c>
      <c r="K108" s="76">
        <f>Bilanca!L117</f>
        <v>4632550</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33462.72</v>
      </c>
      <c r="I109" s="27">
        <f t="shared" si="11"/>
        <v>0</v>
      </c>
      <c r="J109" s="75">
        <f>Bilanca!K118</f>
        <v>10328</v>
      </c>
      <c r="K109" s="76">
        <f>Bilanca!L118</f>
        <v>10328</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9857306.16</v>
      </c>
      <c r="I112" s="27">
        <f t="shared" si="11"/>
        <v>0</v>
      </c>
      <c r="J112" s="75">
        <f>RDG!K9</f>
        <v>3205112</v>
      </c>
      <c r="K112" s="76">
        <f>RDG!L9</f>
        <v>2837672</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6204132.48</v>
      </c>
      <c r="I113" s="27">
        <f t="shared" si="11"/>
        <v>0</v>
      </c>
      <c r="J113" s="75">
        <f>RDG!K10</f>
        <v>1746056</v>
      </c>
      <c r="K113" s="76">
        <f>RDG!L10</f>
        <v>1896674</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3775388.76</v>
      </c>
      <c r="I114" s="27">
        <f aca="true" t="shared" si="13" ref="I114:I158">ABS(ROUND(J114,0)-J114)+ABS(ROUND(K114,0)-K114)</f>
        <v>0</v>
      </c>
      <c r="J114" s="75">
        <f>RDG!K11</f>
        <v>1459056</v>
      </c>
      <c r="K114" s="76">
        <f>RDG!L11</f>
        <v>940998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9722114.94</v>
      </c>
      <c r="I115" s="27">
        <f t="shared" si="13"/>
        <v>0</v>
      </c>
      <c r="J115" s="75">
        <f>RDG!K12</f>
        <v>2874787</v>
      </c>
      <c r="K115" s="76">
        <f>RDG!L12</f>
        <v>2826692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2417981.7199999997</v>
      </c>
      <c r="I117" s="27">
        <f t="shared" si="13"/>
        <v>0</v>
      </c>
      <c r="J117" s="75">
        <f>RDG!K14</f>
        <v>683391</v>
      </c>
      <c r="K117" s="76">
        <f>RDG!L14</f>
        <v>700538</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282090.51</v>
      </c>
      <c r="I118" s="27">
        <f t="shared" si="13"/>
        <v>0</v>
      </c>
      <c r="J118" s="75">
        <f>RDG!K15</f>
        <v>93309</v>
      </c>
      <c r="K118" s="76">
        <f>RDG!L15</f>
        <v>73897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2193603.16</v>
      </c>
      <c r="I120" s="27">
        <f t="shared" si="13"/>
        <v>0</v>
      </c>
      <c r="J120" s="75">
        <f>RDG!K17</f>
        <v>590082</v>
      </c>
      <c r="K120" s="76">
        <f>RDG!L17</f>
        <v>626641</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6168492</v>
      </c>
      <c r="I121" s="27">
        <f t="shared" si="13"/>
        <v>0</v>
      </c>
      <c r="J121" s="75">
        <f>RDG!K18</f>
        <v>1763136</v>
      </c>
      <c r="K121" s="76">
        <f>RDG!L18</f>
        <v>1688637</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3639929.26</v>
      </c>
      <c r="I122" s="27">
        <f t="shared" si="13"/>
        <v>0</v>
      </c>
      <c r="J122" s="75">
        <f>RDG!K19</f>
        <v>1029924</v>
      </c>
      <c r="K122" s="76">
        <f>RDG!L19</f>
        <v>989141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1607591.56</v>
      </c>
      <c r="I123" s="27">
        <f t="shared" si="13"/>
        <v>0</v>
      </c>
      <c r="J123" s="75">
        <f>RDG!K20</f>
        <v>500934</v>
      </c>
      <c r="K123" s="76">
        <f>RDG!L20</f>
        <v>408382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1001842.3799999999</v>
      </c>
      <c r="I124" s="27">
        <f t="shared" si="13"/>
        <v>0</v>
      </c>
      <c r="J124" s="75">
        <f>RDG!K21</f>
        <v>232278</v>
      </c>
      <c r="K124" s="76">
        <f>RDG!L21</f>
        <v>291114</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823770.44</v>
      </c>
      <c r="I125" s="27">
        <f t="shared" si="13"/>
        <v>0</v>
      </c>
      <c r="J125" s="75">
        <f>RDG!K22</f>
        <v>303479</v>
      </c>
      <c r="K125" s="76">
        <f>RDG!L22</f>
        <v>180426</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427646.25</v>
      </c>
      <c r="I126" s="27">
        <f t="shared" si="13"/>
        <v>0</v>
      </c>
      <c r="J126" s="75">
        <f>RDG!K23</f>
        <v>102109</v>
      </c>
      <c r="K126" s="76">
        <f>RDG!L23</f>
        <v>120004</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340628.4</v>
      </c>
      <c r="I127" s="27">
        <f t="shared" si="13"/>
        <v>0</v>
      </c>
      <c r="J127" s="75">
        <f>RDG!K24</f>
        <v>16534</v>
      </c>
      <c r="K127" s="76">
        <f>RDG!L24</f>
        <v>126903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346035.2</v>
      </c>
      <c r="I129" s="27">
        <f t="shared" si="13"/>
        <v>0</v>
      </c>
      <c r="J129" s="75">
        <f>RDG!K26</f>
        <v>16534</v>
      </c>
      <c r="K129" s="76">
        <f>RDG!L26</f>
        <v>126903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34457.8</v>
      </c>
      <c r="I131" s="27">
        <f t="shared" si="13"/>
        <v>0</v>
      </c>
      <c r="J131" s="75">
        <f>RDG!K28</f>
        <v>6138</v>
      </c>
      <c r="K131" s="76">
        <f>RDG!L28</f>
        <v>10184</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105844.07</v>
      </c>
      <c r="I132" s="27">
        <f t="shared" si="13"/>
        <v>0</v>
      </c>
      <c r="J132" s="75">
        <f>RDG!K29</f>
        <v>1399</v>
      </c>
      <c r="K132" s="76">
        <f>RDG!L29</f>
        <v>39699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107460.01</v>
      </c>
      <c r="I134" s="27">
        <f t="shared" si="13"/>
        <v>0</v>
      </c>
      <c r="J134" s="75">
        <f>RDG!K31</f>
        <v>1399</v>
      </c>
      <c r="K134" s="76">
        <f>RDG!L31</f>
        <v>39699</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327776.61</v>
      </c>
      <c r="I138" s="27">
        <f t="shared" si="13"/>
        <v>0</v>
      </c>
      <c r="J138" s="75">
        <f>RDG!K35</f>
        <v>219565</v>
      </c>
      <c r="K138" s="76">
        <f>RDG!L35</f>
        <v>9844</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332561.67000000004</v>
      </c>
      <c r="I140" s="27">
        <f t="shared" si="13"/>
        <v>0</v>
      </c>
      <c r="J140" s="75">
        <f>RDG!K37</f>
        <v>219565</v>
      </c>
      <c r="K140" s="76">
        <f>RDG!L37</f>
        <v>9844</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13083429.38</v>
      </c>
      <c r="I147" s="27">
        <f t="shared" si="13"/>
        <v>0</v>
      </c>
      <c r="J147" s="75">
        <f>RDG!K44</f>
        <v>3206511</v>
      </c>
      <c r="K147" s="76">
        <f>RDG!L44</f>
        <v>2877371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12888113.280000001</v>
      </c>
      <c r="I148" s="27">
        <f t="shared" si="13"/>
        <v>0</v>
      </c>
      <c r="J148" s="75">
        <f>RDG!K45</f>
        <v>3094352</v>
      </c>
      <c r="K148" s="76">
        <f>RDG!L45</f>
        <v>2836536</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286866.92</v>
      </c>
      <c r="I149" s="27">
        <f t="shared" si="13"/>
        <v>0</v>
      </c>
      <c r="J149" s="75">
        <f>RDG!K46</f>
        <v>112159</v>
      </c>
      <c r="K149" s="76">
        <f>RDG!L46</f>
        <v>40835</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288805.20999999996</v>
      </c>
      <c r="I150" s="27">
        <f t="shared" si="13"/>
        <v>0</v>
      </c>
      <c r="J150" s="75">
        <f>RDG!K47</f>
        <v>112159</v>
      </c>
      <c r="K150" s="76">
        <f>RDG!L47</f>
        <v>40835</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106917.06</v>
      </c>
      <c r="I152" s="27">
        <f t="shared" si="13"/>
        <v>0</v>
      </c>
      <c r="J152" s="75">
        <f>RDG!K49</f>
        <v>33388</v>
      </c>
      <c r="K152" s="76">
        <f>RDG!L49</f>
        <v>18709</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186994.96000000002</v>
      </c>
      <c r="I153" s="27">
        <f t="shared" si="13"/>
        <v>0</v>
      </c>
      <c r="J153" s="75">
        <f>RDG!K50</f>
        <v>78771</v>
      </c>
      <c r="K153" s="76">
        <f>RDG!L50</f>
        <v>22126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188225.19</v>
      </c>
      <c r="I154" s="27">
        <f t="shared" si="13"/>
        <v>0</v>
      </c>
      <c r="J154" s="75">
        <f>RDG!K51</f>
        <v>78771</v>
      </c>
      <c r="K154" s="76">
        <f>RDG!L51</f>
        <v>22126</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2615774.2800000003</v>
      </c>
      <c r="I173" s="27">
        <f>ABS(ROUND(J173,0)-J173)+ABS(ROUND(K173,0)-K173)</f>
        <v>0</v>
      </c>
      <c r="J173" s="75">
        <f>PodDop!K11</f>
        <v>506933</v>
      </c>
      <c r="K173" s="76">
        <f>PodDop!L11</f>
        <v>506933</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4184510.4000000004</v>
      </c>
      <c r="I181" s="27">
        <f t="shared" si="17"/>
        <v>0</v>
      </c>
      <c r="J181" s="75">
        <f>PodDop!K19</f>
        <v>806506</v>
      </c>
      <c r="K181" s="76">
        <f>PodDop!L19</f>
        <v>759111</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7191135.49</v>
      </c>
      <c r="I188" s="27">
        <f t="shared" si="17"/>
        <v>0</v>
      </c>
      <c r="J188" s="75">
        <f>PodDop!K26</f>
        <v>1313439</v>
      </c>
      <c r="K188" s="76">
        <f>PodDop!L26</f>
        <v>1266044</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2768862.12</v>
      </c>
      <c r="I189" s="27">
        <f t="shared" si="17"/>
        <v>0</v>
      </c>
      <c r="J189" s="75">
        <f>PodDop!K27</f>
        <v>490933</v>
      </c>
      <c r="K189" s="76">
        <f>PodDop!L27</f>
        <v>490933</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242549.37</v>
      </c>
      <c r="I190" s="27">
        <f t="shared" si="17"/>
        <v>0</v>
      </c>
      <c r="J190" s="75">
        <f>PodDop!K28</f>
        <v>128333</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1032963.1199999999</v>
      </c>
      <c r="I197" s="27">
        <f t="shared" si="17"/>
        <v>0</v>
      </c>
      <c r="J197" s="75">
        <f>PodDop!K35</f>
        <v>175674</v>
      </c>
      <c r="K197" s="76">
        <f>PodDop!L35</f>
        <v>175674</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25581.6</v>
      </c>
      <c r="I205" s="27">
        <f t="shared" si="17"/>
        <v>0</v>
      </c>
      <c r="J205" s="75">
        <f>PodDop!K43</f>
        <v>4180</v>
      </c>
      <c r="K205" s="76">
        <f>PodDop!L43</f>
        <v>4180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25707</v>
      </c>
      <c r="I206" s="27">
        <f t="shared" si="17"/>
        <v>0</v>
      </c>
      <c r="J206" s="75">
        <f>PodDop!K44</f>
        <v>4180</v>
      </c>
      <c r="K206" s="76">
        <f>PodDop!L44</f>
        <v>4180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4435662.04</v>
      </c>
      <c r="I207" s="27">
        <f t="shared" si="17"/>
        <v>0</v>
      </c>
      <c r="J207" s="75">
        <f>PodDop!K45</f>
        <v>803300</v>
      </c>
      <c r="K207" s="76">
        <f>PodDop!L45</f>
        <v>674967</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13793115.96</v>
      </c>
      <c r="I250" s="27">
        <f t="shared" si="19"/>
        <v>0</v>
      </c>
      <c r="J250" s="75">
        <f>PodDop!K90</f>
        <v>1746056</v>
      </c>
      <c r="K250" s="76">
        <f>PodDop!L90</f>
        <v>1896674</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13848510</v>
      </c>
      <c r="I251" s="27">
        <f t="shared" si="19"/>
        <v>0</v>
      </c>
      <c r="J251" s="75">
        <f>PodDop!K91</f>
        <v>1746056</v>
      </c>
      <c r="K251" s="76">
        <f>PodDop!L91</f>
        <v>1896674</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1634449.25</v>
      </c>
      <c r="I252" s="27">
        <f t="shared" si="19"/>
        <v>0</v>
      </c>
      <c r="J252" s="75">
        <f>PodDop!K92</f>
        <v>266133</v>
      </c>
      <c r="K252" s="76">
        <f>PodDop!L92</f>
        <v>192521</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1660496.25</v>
      </c>
      <c r="I256" s="27">
        <f t="shared" si="19"/>
        <v>0</v>
      </c>
      <c r="J256" s="75">
        <f>PodDop!K96</f>
        <v>266133</v>
      </c>
      <c r="K256" s="76">
        <f>PodDop!L96</f>
        <v>192521</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14180874.240000002</v>
      </c>
      <c r="I257" s="27">
        <f t="shared" si="19"/>
        <v>0</v>
      </c>
      <c r="J257" s="75">
        <f>PodDop!K97</f>
        <v>1746056</v>
      </c>
      <c r="K257" s="76">
        <f>PodDop!L97</f>
        <v>1896674</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14291662.320000002</v>
      </c>
      <c r="I259" s="27">
        <f t="shared" si="19"/>
        <v>0</v>
      </c>
      <c r="J259" s="75">
        <f>PodDop!K99</f>
        <v>1746056</v>
      </c>
      <c r="K259" s="76">
        <f>PodDop!L99</f>
        <v>1896674</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439106.00999999995</v>
      </c>
      <c r="I260" s="27">
        <f t="shared" si="19"/>
        <v>0</v>
      </c>
      <c r="J260" s="75">
        <f>PodDop!K100</f>
        <v>64881</v>
      </c>
      <c r="K260" s="76">
        <f>PodDop!L100</f>
        <v>52329</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15358.2</v>
      </c>
      <c r="I261" s="27">
        <f t="shared" si="19"/>
        <v>0</v>
      </c>
      <c r="J261" s="75">
        <f>PodDop!K101</f>
        <v>2193</v>
      </c>
      <c r="K261" s="76">
        <f>PodDop!L101</f>
        <v>1857</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342719.52</v>
      </c>
      <c r="I265" s="27">
        <f t="shared" si="19"/>
        <v>0</v>
      </c>
      <c r="J265" s="75">
        <f>PodDop!K105</f>
        <v>46104</v>
      </c>
      <c r="K265" s="76">
        <f>PodDop!L105</f>
        <v>41857</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6650</v>
      </c>
      <c r="I267" s="27">
        <f t="shared" si="19"/>
        <v>0</v>
      </c>
      <c r="J267" s="75">
        <f>PodDop!K107</f>
        <v>2500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85090.08</v>
      </c>
      <c r="I270" s="27">
        <f t="shared" si="19"/>
        <v>0</v>
      </c>
      <c r="J270" s="75">
        <f>PodDop!K110</f>
        <v>17332</v>
      </c>
      <c r="K270" s="76">
        <f>PodDop!L110</f>
        <v>7150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8100</v>
      </c>
      <c r="I271" s="27">
        <f t="shared" si="19"/>
        <v>0</v>
      </c>
      <c r="J271" s="75">
        <f>PodDop!K111</f>
        <v>1000</v>
      </c>
      <c r="K271" s="76">
        <f>PodDop!L111</f>
        <v>1000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937400.58</v>
      </c>
      <c r="I275" s="27">
        <f t="shared" si="19"/>
        <v>0</v>
      </c>
      <c r="J275" s="75">
        <f>PodDop!K115</f>
        <v>102109</v>
      </c>
      <c r="K275" s="76">
        <f>PodDop!L115</f>
        <v>120004</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4140</v>
      </c>
      <c r="I277" s="27">
        <f t="shared" si="19"/>
        <v>0</v>
      </c>
      <c r="J277" s="75">
        <f>PodDop!K117</f>
        <v>500</v>
      </c>
      <c r="K277" s="76">
        <f>PodDop!L117</f>
        <v>500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1900256.0099999998</v>
      </c>
      <c r="I278" s="27">
        <f t="shared" si="19"/>
        <v>0</v>
      </c>
      <c r="J278" s="75">
        <f>PodDop!K118</f>
        <v>236619</v>
      </c>
      <c r="K278" s="76">
        <f>PodDop!L118</f>
        <v>224697</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212511.54</v>
      </c>
      <c r="I279" s="27">
        <f t="shared" si="19"/>
        <v>0</v>
      </c>
      <c r="J279" s="75">
        <f>PodDop!K119</f>
        <v>609</v>
      </c>
      <c r="K279" s="76">
        <f>PodDop!L119</f>
        <v>37917</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214804.83000000002</v>
      </c>
      <c r="I282" s="27">
        <f t="shared" si="19"/>
        <v>0</v>
      </c>
      <c r="J282" s="75">
        <f>PodDop!K122</f>
        <v>609</v>
      </c>
      <c r="K282" s="76">
        <f>PodDop!L122</f>
        <v>37917</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648683.1399999999</v>
      </c>
      <c r="I288" s="27">
        <f t="shared" si="19"/>
        <v>0</v>
      </c>
      <c r="J288" s="75">
        <f>PodDop!K128</f>
        <v>213010</v>
      </c>
      <c r="K288" s="76">
        <f>PodDop!L128</f>
        <v>6506</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770073.3</v>
      </c>
      <c r="I292" s="27">
        <f t="shared" si="19"/>
        <v>0</v>
      </c>
      <c r="J292" s="75">
        <f>PodDop!K132</f>
        <v>264630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1437610.3599999999</v>
      </c>
      <c r="I294" s="27">
        <f t="shared" si="19"/>
        <v>0</v>
      </c>
      <c r="J294" s="75">
        <f>PodDop!K134</f>
        <v>477640</v>
      </c>
      <c r="K294" s="76">
        <f>PodDop!L134</f>
        <v>6506</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111.72</v>
      </c>
      <c r="I295" s="27">
        <f aca="true" t="shared" si="21" ref="I295:I303">ABS(ROUND(J295,0)-J295)+ABS(ROUND(K295,0)-K295)</f>
        <v>0</v>
      </c>
      <c r="J295" s="75">
        <f>PodDop!K136</f>
        <v>12</v>
      </c>
      <c r="K295" s="76">
        <f>PodDop!L136</f>
        <v>13</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112.1</v>
      </c>
      <c r="I296" s="27">
        <f t="shared" si="21"/>
        <v>0</v>
      </c>
      <c r="J296" s="75">
        <f>PodDop!K137</f>
        <v>12</v>
      </c>
      <c r="K296" s="76">
        <f>PodDop!L137</f>
        <v>13</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185963.58000000002</v>
      </c>
      <c r="I298" s="27">
        <f t="shared" si="21"/>
        <v>0</v>
      </c>
      <c r="J298" s="75">
        <f>PodDop!K139</f>
        <v>21134</v>
      </c>
      <c r="K298" s="76">
        <f>PodDop!L139</f>
        <v>20740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206172.46</v>
      </c>
      <c r="I300" s="27">
        <f t="shared" si="21"/>
        <v>0</v>
      </c>
      <c r="J300" s="75">
        <f>PodDop!K141</f>
        <v>23246</v>
      </c>
      <c r="K300" s="76">
        <f>PodDop!L141</f>
        <v>22854</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01331981; REDEA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f>UPPER(TRIM(Opci!C31))</f>
      </c>
      <c r="N59" s="201" t="str">
        <f>UPPER(TRIM(Opci!C69))</f>
        <v>RIN-COMMERCE@CK.T-COM.HR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C:\Users\Lenovo\Documents\GFI SVI\[GFI-POD REDEA 2014.xls]Bilanca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8</v>
      </c>
      <c r="R92">
        <f>IF(Opci!C55+Opci!E55,ABS(Opci!C55-Opci!E55)/(Opci!C55+Opci!E55)*200,0)</f>
        <v>8</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REDEA d.o.o.</v>
      </c>
      <c r="B21" s="250"/>
      <c r="C21" s="250"/>
      <c r="D21" s="250"/>
      <c r="E21" s="250"/>
      <c r="F21" s="250"/>
      <c r="G21" s="250"/>
      <c r="H21" s="251"/>
      <c r="I21" s="252"/>
      <c r="J21" s="253"/>
    </row>
    <row r="22" spans="1:10" ht="13.5" customHeight="1">
      <c r="A22" s="255" t="str">
        <f>IF(Opci!C29&lt;&gt;"",MID(Opci!C29,1,30),"")</f>
        <v>Bana Josipa Jelačića 22</v>
      </c>
      <c r="B22" s="249"/>
      <c r="C22" s="249"/>
      <c r="D22" s="249"/>
      <c r="E22" s="249"/>
      <c r="F22" s="249"/>
      <c r="G22" s="249"/>
      <c r="H22" s="80"/>
      <c r="I22" s="247"/>
      <c r="J22" s="246"/>
    </row>
    <row r="23" spans="1:10" ht="13.5" customHeight="1">
      <c r="A23" s="255" t="str">
        <f>IF(AND(Opci!C27&lt;&gt;"",Opci!F27&lt;&gt;""),MID(Opci!C27&amp;" "&amp;Opci!F27,1,30),"")</f>
        <v>40000 ČAKOVEC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6 1 5 3 9 2 6 3 6 0 2</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C71" sqref="C71:H7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133198.1</v>
      </c>
      <c r="T2" s="192">
        <f>INT(VALUE(C21))/50</f>
        <v>1400969.76</v>
      </c>
      <c r="U2" s="192">
        <f>INT(VALUE(C23))/100</f>
        <v>615392636.02</v>
      </c>
      <c r="V2" s="192">
        <f>LEN(Skriveni!B9)</f>
        <v>12</v>
      </c>
      <c r="W2" s="192">
        <f>INT(VALUE(C27))/100</f>
        <v>400</v>
      </c>
      <c r="X2" s="192">
        <f>LEN(Skriveni!B11)</f>
        <v>7</v>
      </c>
      <c r="Y2" s="192">
        <f>LEN(Skriveni!B12)</f>
        <v>23</v>
      </c>
      <c r="Z2" s="192">
        <f>INT(VALUE(C35))</f>
        <v>60</v>
      </c>
      <c r="AA2" s="192">
        <f>INT(VALUE(C39))</f>
        <v>7022</v>
      </c>
      <c r="AB2" s="192">
        <f>IF(C41="DA",1,0)</f>
        <v>0</v>
      </c>
      <c r="AC2" s="192">
        <f>IF(C43="DA",1,0)</f>
        <v>0</v>
      </c>
      <c r="AD2" s="192">
        <f>INT(VALUE(C45))</f>
        <v>3</v>
      </c>
      <c r="AE2" s="192">
        <f>INT(VALUE(C47))</f>
        <v>1</v>
      </c>
      <c r="AF2" s="192">
        <f>INT(VALUE(C49))</f>
        <v>11</v>
      </c>
      <c r="AG2" s="192">
        <f>C51*2+E51</f>
        <v>200</v>
      </c>
      <c r="AH2" s="192">
        <f>C53+2*E53+3*C55+4*E55</f>
        <v>126</v>
      </c>
      <c r="AI2" s="192">
        <f>C57*2+E57</f>
        <v>36</v>
      </c>
      <c r="AJ2" s="192">
        <f>LEN(Skriveni!B43)</f>
        <v>24</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833920361.6800001</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2975</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2974</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40000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60</v>
      </c>
      <c r="D35" s="417" t="str">
        <f>IF(C35&lt;&gt;"",LOOKUP(C35,P29:P584,Q29:Q584),"Nije upisana općina!")</f>
        <v>Čakovec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20</v>
      </c>
      <c r="D37" s="417" t="str">
        <f>IF(C37&lt;&gt;"",LOOKUP(C37,T29:T49,U29:U49),"")</f>
        <v>MEĐIMURSKA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2368</v>
      </c>
      <c r="D39" s="422" t="str">
        <f>IF(C39&lt;&gt;"",LOOKUP(C39,Djel!A5:A621,Djel!B5:B621),"Djelatnost nije upisana!")</f>
        <v>Savjetovanje u vezi s poslovanjem i ostalim upravljanjem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DA</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2979</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3</v>
      </c>
      <c r="D45" s="468" t="str">
        <f>IF(C45&lt;&gt;"",LOOKUP(C45,T52:T54,U52:U54),"Svrha predaje još nije odabrana")</f>
        <v>Predaja i za statističke svrhe i za javnu objavu</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12</v>
      </c>
      <c r="D53" s="171"/>
      <c r="E53" s="190">
        <v>13</v>
      </c>
      <c r="F53" s="171"/>
      <c r="G53" s="97"/>
      <c r="H53" s="124" t="s">
        <v>2979</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12</v>
      </c>
      <c r="D55" s="171"/>
      <c r="E55" s="191">
        <v>13</v>
      </c>
      <c r="F55" s="171"/>
      <c r="G55" s="97"/>
      <c r="H55" s="124" t="s">
        <v>2979</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t="s">
        <v>2982</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2983</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2984</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2" activePane="bottomLeft" state="frozen"/>
      <selection pane="topLeft" activeCell="A1" sqref="A1"/>
      <selection pane="bottomLeft" activeCell="L114" sqref="L114"/>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61539263602; REDEA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2464962</v>
      </c>
      <c r="L11" s="59">
        <f>L12+L19+L29+L38+L42</f>
        <v>3010884</v>
      </c>
    </row>
    <row r="12" spans="1:12" ht="13.5" customHeight="1">
      <c r="A12" s="483" t="s">
        <v>753</v>
      </c>
      <c r="B12" s="484"/>
      <c r="C12" s="484"/>
      <c r="D12" s="484"/>
      <c r="E12" s="484"/>
      <c r="F12" s="484"/>
      <c r="G12" s="484"/>
      <c r="H12" s="485"/>
      <c r="I12" s="4">
        <v>3</v>
      </c>
      <c r="J12" s="8"/>
      <c r="K12" s="59">
        <f>SUM(K13:K18)</f>
        <v>128333</v>
      </c>
      <c r="L12" s="59">
        <f>SUM(L13:L18)</f>
        <v>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128333</v>
      </c>
      <c r="L14" s="60">
        <v>0</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66077</v>
      </c>
      <c r="L19" s="59">
        <f>SUM(L20:L28)</f>
        <v>13984</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c r="L21" s="60"/>
    </row>
    <row r="22" spans="1:12" ht="13.5" customHeight="1">
      <c r="A22" s="477" t="s">
        <v>1437</v>
      </c>
      <c r="B22" s="478"/>
      <c r="C22" s="478"/>
      <c r="D22" s="478"/>
      <c r="E22" s="478"/>
      <c r="F22" s="478"/>
      <c r="G22" s="478"/>
      <c r="H22" s="479"/>
      <c r="I22" s="4">
        <v>13</v>
      </c>
      <c r="J22" s="8"/>
      <c r="K22" s="60"/>
      <c r="L22" s="60"/>
    </row>
    <row r="23" spans="1:12" ht="13.5" customHeight="1">
      <c r="A23" s="477" t="s">
        <v>1273</v>
      </c>
      <c r="B23" s="478"/>
      <c r="C23" s="478"/>
      <c r="D23" s="478"/>
      <c r="E23" s="478"/>
      <c r="F23" s="478"/>
      <c r="G23" s="478"/>
      <c r="H23" s="479"/>
      <c r="I23" s="4">
        <v>14</v>
      </c>
      <c r="J23" s="8"/>
      <c r="K23" s="60">
        <v>66077</v>
      </c>
      <c r="L23" s="60">
        <v>13984</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2154200</v>
      </c>
      <c r="L29" s="59">
        <f>SUM(L30:L37)</f>
        <v>2996900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v>1081700</v>
      </c>
      <c r="L32" s="60">
        <v>1081700</v>
      </c>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v>1072500</v>
      </c>
      <c r="L35" s="60">
        <v>1915200</v>
      </c>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116352</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v>116352</v>
      </c>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952870</v>
      </c>
      <c r="L43" s="59">
        <f>L44+L52+L59+L67</f>
        <v>1597361</v>
      </c>
    </row>
    <row r="44" spans="1:12" ht="13.5" customHeight="1">
      <c r="A44" s="483" t="s">
        <v>319</v>
      </c>
      <c r="B44" s="484"/>
      <c r="C44" s="484"/>
      <c r="D44" s="484"/>
      <c r="E44" s="484"/>
      <c r="F44" s="484"/>
      <c r="G44" s="484"/>
      <c r="H44" s="485"/>
      <c r="I44" s="4">
        <v>35</v>
      </c>
      <c r="J44" s="8"/>
      <c r="K44" s="59">
        <f>SUM(K45:K51)</f>
        <v>0</v>
      </c>
      <c r="L44" s="59">
        <f>SUM(L45:L51)</f>
        <v>0</v>
      </c>
    </row>
    <row r="45" spans="1:12" ht="13.5" customHeight="1">
      <c r="A45" s="477" t="s">
        <v>1485</v>
      </c>
      <c r="B45" s="478"/>
      <c r="C45" s="478"/>
      <c r="D45" s="478"/>
      <c r="E45" s="478"/>
      <c r="F45" s="478"/>
      <c r="G45" s="478"/>
      <c r="H45" s="479"/>
      <c r="I45" s="4">
        <v>36</v>
      </c>
      <c r="J45" s="8"/>
      <c r="K45" s="60"/>
      <c r="L45" s="60"/>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801422</v>
      </c>
      <c r="L52" s="59">
        <f>SUM(L53:L58)</f>
        <v>694557</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52561</v>
      </c>
      <c r="L54" s="60">
        <v>25875</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v>356</v>
      </c>
      <c r="L56" s="60">
        <v>356</v>
      </c>
    </row>
    <row r="57" spans="1:12" ht="13.5" customHeight="1">
      <c r="A57" s="477" t="s">
        <v>663</v>
      </c>
      <c r="B57" s="478"/>
      <c r="C57" s="478"/>
      <c r="D57" s="478"/>
      <c r="E57" s="478"/>
      <c r="F57" s="478"/>
      <c r="G57" s="478"/>
      <c r="H57" s="479"/>
      <c r="I57" s="4">
        <v>48</v>
      </c>
      <c r="J57" s="8"/>
      <c r="K57" s="60">
        <v>837</v>
      </c>
      <c r="L57" s="60">
        <v>13552</v>
      </c>
    </row>
    <row r="58" spans="1:12" ht="13.5" customHeight="1">
      <c r="A58" s="477" t="s">
        <v>664</v>
      </c>
      <c r="B58" s="478"/>
      <c r="C58" s="478"/>
      <c r="D58" s="478"/>
      <c r="E58" s="478"/>
      <c r="F58" s="478"/>
      <c r="G58" s="478"/>
      <c r="H58" s="479"/>
      <c r="I58" s="4">
        <v>49</v>
      </c>
      <c r="J58" s="8"/>
      <c r="K58" s="60">
        <v>747668</v>
      </c>
      <c r="L58" s="60">
        <v>654774</v>
      </c>
    </row>
    <row r="59" spans="1:12" ht="13.5" customHeight="1">
      <c r="A59" s="483" t="s">
        <v>321</v>
      </c>
      <c r="B59" s="484"/>
      <c r="C59" s="484"/>
      <c r="D59" s="484"/>
      <c r="E59" s="484"/>
      <c r="F59" s="484"/>
      <c r="G59" s="484"/>
      <c r="H59" s="485"/>
      <c r="I59" s="4">
        <v>50</v>
      </c>
      <c r="J59" s="8"/>
      <c r="K59" s="59">
        <f>SUM(K60:K66)</f>
        <v>0</v>
      </c>
      <c r="L59" s="59">
        <f>SUM(L60:L66)</f>
        <v>490631</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v>490631</v>
      </c>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151448</v>
      </c>
      <c r="L67" s="60">
        <v>412173</v>
      </c>
    </row>
    <row r="68" spans="1:12" ht="13.5" customHeight="1">
      <c r="A68" s="499" t="s">
        <v>2848</v>
      </c>
      <c r="B68" s="500"/>
      <c r="C68" s="500"/>
      <c r="D68" s="500"/>
      <c r="E68" s="500"/>
      <c r="F68" s="500"/>
      <c r="G68" s="500"/>
      <c r="H68" s="501"/>
      <c r="I68" s="4">
        <v>59</v>
      </c>
      <c r="J68" s="8"/>
      <c r="K68" s="60">
        <v>4510</v>
      </c>
      <c r="L68" s="60">
        <v>24305</v>
      </c>
    </row>
    <row r="69" spans="1:12" ht="13.5" customHeight="1">
      <c r="A69" s="499" t="s">
        <v>2298</v>
      </c>
      <c r="B69" s="500"/>
      <c r="C69" s="500"/>
      <c r="D69" s="500"/>
      <c r="E69" s="500"/>
      <c r="F69" s="500"/>
      <c r="G69" s="500"/>
      <c r="H69" s="501"/>
      <c r="I69" s="4">
        <v>60</v>
      </c>
      <c r="J69" s="8"/>
      <c r="K69" s="59">
        <f>K10+K11+K43+K68</f>
        <v>3422342</v>
      </c>
      <c r="L69" s="59">
        <f>L10+L11+L43+L68</f>
        <v>4632550</v>
      </c>
    </row>
    <row r="70" spans="1:12" ht="13.5" customHeight="1">
      <c r="A70" s="519" t="s">
        <v>309</v>
      </c>
      <c r="B70" s="520"/>
      <c r="C70" s="520"/>
      <c r="D70" s="520"/>
      <c r="E70" s="520"/>
      <c r="F70" s="520"/>
      <c r="G70" s="520"/>
      <c r="H70" s="521"/>
      <c r="I70" s="5">
        <v>61</v>
      </c>
      <c r="J70" s="9"/>
      <c r="K70" s="61">
        <v>10328</v>
      </c>
      <c r="L70" s="61">
        <v>10328</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1251129</v>
      </c>
      <c r="L72" s="79">
        <f>L73+L74+L75+L81+L82+L85+L88</f>
        <v>1273256</v>
      </c>
    </row>
    <row r="73" spans="1:12" ht="13.5" customHeight="1">
      <c r="A73" s="483" t="s">
        <v>2741</v>
      </c>
      <c r="B73" s="484"/>
      <c r="C73" s="484"/>
      <c r="D73" s="484"/>
      <c r="E73" s="484"/>
      <c r="F73" s="484"/>
      <c r="G73" s="484"/>
      <c r="H73" s="485"/>
      <c r="I73" s="4">
        <v>63</v>
      </c>
      <c r="J73" s="8"/>
      <c r="K73" s="60">
        <v>868000</v>
      </c>
      <c r="L73" s="60">
        <v>868000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900</v>
      </c>
      <c r="L75" s="59">
        <f>L76+L77-L78+L79+L80</f>
        <v>900</v>
      </c>
    </row>
    <row r="76" spans="1:12" ht="13.5" customHeight="1">
      <c r="A76" s="477" t="s">
        <v>2744</v>
      </c>
      <c r="B76" s="478"/>
      <c r="C76" s="478"/>
      <c r="D76" s="478"/>
      <c r="E76" s="478"/>
      <c r="F76" s="478"/>
      <c r="G76" s="478"/>
      <c r="H76" s="479"/>
      <c r="I76" s="4">
        <v>66</v>
      </c>
      <c r="J76" s="8"/>
      <c r="K76" s="60">
        <v>900</v>
      </c>
      <c r="L76" s="60">
        <v>900</v>
      </c>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303458</v>
      </c>
      <c r="L82" s="59">
        <f>L83-L84</f>
        <v>382230</v>
      </c>
    </row>
    <row r="83" spans="1:12" ht="13.5" customHeight="1">
      <c r="A83" s="486" t="s">
        <v>2824</v>
      </c>
      <c r="B83" s="487"/>
      <c r="C83" s="487"/>
      <c r="D83" s="487"/>
      <c r="E83" s="487"/>
      <c r="F83" s="487"/>
      <c r="G83" s="487"/>
      <c r="H83" s="488"/>
      <c r="I83" s="4">
        <v>73</v>
      </c>
      <c r="J83" s="8"/>
      <c r="K83" s="60">
        <v>303458</v>
      </c>
      <c r="L83" s="60">
        <v>382230</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78771</v>
      </c>
      <c r="L85" s="59">
        <f>L86-L87</f>
        <v>22126</v>
      </c>
    </row>
    <row r="86" spans="1:12" ht="13.5" customHeight="1">
      <c r="A86" s="486" t="s">
        <v>2826</v>
      </c>
      <c r="B86" s="487"/>
      <c r="C86" s="487"/>
      <c r="D86" s="487"/>
      <c r="E86" s="487"/>
      <c r="F86" s="487"/>
      <c r="G86" s="487"/>
      <c r="H86" s="488"/>
      <c r="I86" s="4">
        <v>76</v>
      </c>
      <c r="J86" s="8"/>
      <c r="K86" s="60">
        <v>78771</v>
      </c>
      <c r="L86" s="60">
        <v>22126</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1497904</v>
      </c>
      <c r="L93" s="59">
        <f>SUM(L94:L102)</f>
        <v>2673391</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v>166667</v>
      </c>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v>1331237</v>
      </c>
      <c r="L101" s="60">
        <v>2673391</v>
      </c>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340288</v>
      </c>
      <c r="L103" s="59">
        <f>SUM(L104:L115)</f>
        <v>318694</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v>17223</v>
      </c>
      <c r="L107" s="60">
        <v>17923</v>
      </c>
    </row>
    <row r="108" spans="1:12" ht="13.5" customHeight="1">
      <c r="A108" s="477" t="s">
        <v>180</v>
      </c>
      <c r="B108" s="478"/>
      <c r="C108" s="478"/>
      <c r="D108" s="478"/>
      <c r="E108" s="478"/>
      <c r="F108" s="478"/>
      <c r="G108" s="478"/>
      <c r="H108" s="479"/>
      <c r="I108" s="4">
        <v>98</v>
      </c>
      <c r="J108" s="8"/>
      <c r="K108" s="60">
        <v>148141</v>
      </c>
      <c r="L108" s="60">
        <v>123306</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86607</v>
      </c>
      <c r="L111" s="60">
        <v>93627</v>
      </c>
    </row>
    <row r="112" spans="1:12" ht="13.5" customHeight="1">
      <c r="A112" s="477" t="s">
        <v>314</v>
      </c>
      <c r="B112" s="478"/>
      <c r="C112" s="478"/>
      <c r="D112" s="478"/>
      <c r="E112" s="478"/>
      <c r="F112" s="478"/>
      <c r="G112" s="478"/>
      <c r="H112" s="479"/>
      <c r="I112" s="4">
        <v>102</v>
      </c>
      <c r="J112" s="8"/>
      <c r="K112" s="60">
        <v>88317</v>
      </c>
      <c r="L112" s="60">
        <v>83838</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c r="K116" s="60">
        <v>333021</v>
      </c>
      <c r="L116" s="60">
        <v>367209</v>
      </c>
    </row>
    <row r="117" spans="1:12" ht="13.5" customHeight="1">
      <c r="A117" s="499" t="s">
        <v>1271</v>
      </c>
      <c r="B117" s="500"/>
      <c r="C117" s="500"/>
      <c r="D117" s="500"/>
      <c r="E117" s="500"/>
      <c r="F117" s="500"/>
      <c r="G117" s="500"/>
      <c r="H117" s="501"/>
      <c r="I117" s="4">
        <v>107</v>
      </c>
      <c r="J117" s="8"/>
      <c r="K117" s="59">
        <f>K72+K89+K93+K103+K116</f>
        <v>3422342</v>
      </c>
      <c r="L117" s="59">
        <f>L72+L89+L93+L103+L116</f>
        <v>4632550</v>
      </c>
    </row>
    <row r="118" spans="1:12" ht="13.5" customHeight="1">
      <c r="A118" s="502" t="s">
        <v>2849</v>
      </c>
      <c r="B118" s="503"/>
      <c r="C118" s="503"/>
      <c r="D118" s="503"/>
      <c r="E118" s="503"/>
      <c r="F118" s="503"/>
      <c r="G118" s="503"/>
      <c r="H118" s="504"/>
      <c r="I118" s="5">
        <v>108</v>
      </c>
      <c r="J118" s="8"/>
      <c r="K118" s="61">
        <v>10328</v>
      </c>
      <c r="L118" s="61">
        <v>10328</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3" activePane="bottomLeft" state="frozen"/>
      <selection pane="topLeft" activeCell="A1" sqref="A1"/>
      <selection pane="bottomLeft" activeCell="L42" sqref="L4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61539263602; REDEA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3205112</v>
      </c>
      <c r="L9" s="79">
        <f>SUM(L10:L11)</f>
        <v>2837672</v>
      </c>
    </row>
    <row r="10" spans="1:12" s="3" customFormat="1" ht="13.5" customHeight="1">
      <c r="A10" s="499" t="s">
        <v>1722</v>
      </c>
      <c r="B10" s="500"/>
      <c r="C10" s="500"/>
      <c r="D10" s="500"/>
      <c r="E10" s="500"/>
      <c r="F10" s="500"/>
      <c r="G10" s="500"/>
      <c r="H10" s="501"/>
      <c r="I10" s="4">
        <v>112</v>
      </c>
      <c r="J10" s="8"/>
      <c r="K10" s="60">
        <v>1746056</v>
      </c>
      <c r="L10" s="60">
        <v>1896674</v>
      </c>
    </row>
    <row r="11" spans="1:12" s="3" customFormat="1" ht="13.5" customHeight="1">
      <c r="A11" s="499" t="s">
        <v>322</v>
      </c>
      <c r="B11" s="500"/>
      <c r="C11" s="500"/>
      <c r="D11" s="500"/>
      <c r="E11" s="500"/>
      <c r="F11" s="500"/>
      <c r="G11" s="500"/>
      <c r="H11" s="501"/>
      <c r="I11" s="4">
        <v>113</v>
      </c>
      <c r="J11" s="8"/>
      <c r="K11" s="60">
        <v>1459056</v>
      </c>
      <c r="L11" s="60">
        <v>940998</v>
      </c>
    </row>
    <row r="12" spans="1:12" s="3" customFormat="1" ht="13.5" customHeight="1">
      <c r="A12" s="499" t="s">
        <v>669</v>
      </c>
      <c r="B12" s="500"/>
      <c r="C12" s="500"/>
      <c r="D12" s="500"/>
      <c r="E12" s="500"/>
      <c r="F12" s="500"/>
      <c r="G12" s="500"/>
      <c r="H12" s="501"/>
      <c r="I12" s="4">
        <v>114</v>
      </c>
      <c r="J12" s="8"/>
      <c r="K12" s="59">
        <f>K13+K14+K18+K22+K23+K24+K27+K28</f>
        <v>2874787</v>
      </c>
      <c r="L12" s="59">
        <f>L13+L14+L18+L22+L23+L24+L27+L28</f>
        <v>2826692</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683391</v>
      </c>
      <c r="L14" s="59">
        <f>SUM(L15:L17)</f>
        <v>700538</v>
      </c>
    </row>
    <row r="15" spans="1:12" s="3" customFormat="1" ht="13.5" customHeight="1">
      <c r="A15" s="477" t="s">
        <v>2463</v>
      </c>
      <c r="B15" s="478"/>
      <c r="C15" s="478"/>
      <c r="D15" s="478"/>
      <c r="E15" s="478"/>
      <c r="F15" s="478"/>
      <c r="G15" s="478"/>
      <c r="H15" s="479"/>
      <c r="I15" s="4">
        <v>117</v>
      </c>
      <c r="J15" s="8"/>
      <c r="K15" s="60">
        <v>93309</v>
      </c>
      <c r="L15" s="60">
        <v>73897</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590082</v>
      </c>
      <c r="L17" s="60">
        <v>626641</v>
      </c>
    </row>
    <row r="18" spans="1:12" s="3" customFormat="1" ht="13.5" customHeight="1">
      <c r="A18" s="499" t="s">
        <v>1269</v>
      </c>
      <c r="B18" s="500"/>
      <c r="C18" s="500"/>
      <c r="D18" s="500"/>
      <c r="E18" s="500"/>
      <c r="F18" s="500"/>
      <c r="G18" s="500"/>
      <c r="H18" s="501"/>
      <c r="I18" s="4">
        <v>120</v>
      </c>
      <c r="J18" s="8"/>
      <c r="K18" s="59">
        <f>SUM(K19:K21)</f>
        <v>1763136</v>
      </c>
      <c r="L18" s="59">
        <f>SUM(L19:L21)</f>
        <v>1688637</v>
      </c>
    </row>
    <row r="19" spans="1:12" s="3" customFormat="1" ht="13.5" customHeight="1">
      <c r="A19" s="477" t="s">
        <v>2664</v>
      </c>
      <c r="B19" s="478"/>
      <c r="C19" s="478"/>
      <c r="D19" s="478"/>
      <c r="E19" s="478"/>
      <c r="F19" s="478"/>
      <c r="G19" s="478"/>
      <c r="H19" s="479"/>
      <c r="I19" s="4">
        <v>121</v>
      </c>
      <c r="J19" s="8"/>
      <c r="K19" s="60">
        <v>1029924</v>
      </c>
      <c r="L19" s="60">
        <v>989141</v>
      </c>
    </row>
    <row r="20" spans="1:12" s="3" customFormat="1" ht="13.5" customHeight="1">
      <c r="A20" s="477" t="s">
        <v>2665</v>
      </c>
      <c r="B20" s="478"/>
      <c r="C20" s="478"/>
      <c r="D20" s="478"/>
      <c r="E20" s="478"/>
      <c r="F20" s="478"/>
      <c r="G20" s="478"/>
      <c r="H20" s="479"/>
      <c r="I20" s="4">
        <v>122</v>
      </c>
      <c r="J20" s="8"/>
      <c r="K20" s="60">
        <v>500934</v>
      </c>
      <c r="L20" s="60">
        <v>408382</v>
      </c>
    </row>
    <row r="21" spans="1:12" s="3" customFormat="1" ht="13.5" customHeight="1">
      <c r="A21" s="477" t="s">
        <v>2666</v>
      </c>
      <c r="B21" s="478"/>
      <c r="C21" s="478"/>
      <c r="D21" s="478"/>
      <c r="E21" s="478"/>
      <c r="F21" s="478"/>
      <c r="G21" s="478"/>
      <c r="H21" s="479"/>
      <c r="I21" s="4">
        <v>123</v>
      </c>
      <c r="J21" s="8"/>
      <c r="K21" s="60">
        <v>232278</v>
      </c>
      <c r="L21" s="60">
        <v>291114</v>
      </c>
    </row>
    <row r="22" spans="1:12" s="3" customFormat="1" ht="13.5" customHeight="1">
      <c r="A22" s="499" t="s">
        <v>324</v>
      </c>
      <c r="B22" s="500"/>
      <c r="C22" s="500"/>
      <c r="D22" s="500"/>
      <c r="E22" s="500"/>
      <c r="F22" s="500"/>
      <c r="G22" s="500"/>
      <c r="H22" s="501"/>
      <c r="I22" s="4">
        <v>124</v>
      </c>
      <c r="J22" s="8"/>
      <c r="K22" s="60">
        <v>303479</v>
      </c>
      <c r="L22" s="60">
        <v>180426</v>
      </c>
    </row>
    <row r="23" spans="1:12" s="3" customFormat="1" ht="13.5" customHeight="1">
      <c r="A23" s="499" t="s">
        <v>325</v>
      </c>
      <c r="B23" s="500"/>
      <c r="C23" s="500"/>
      <c r="D23" s="500"/>
      <c r="E23" s="500"/>
      <c r="F23" s="500"/>
      <c r="G23" s="500"/>
      <c r="H23" s="501"/>
      <c r="I23" s="4">
        <v>125</v>
      </c>
      <c r="J23" s="8"/>
      <c r="K23" s="60">
        <v>102109</v>
      </c>
      <c r="L23" s="60">
        <v>120004</v>
      </c>
    </row>
    <row r="24" spans="1:12" s="3" customFormat="1" ht="13.5" customHeight="1">
      <c r="A24" s="499" t="s">
        <v>1270</v>
      </c>
      <c r="B24" s="500"/>
      <c r="C24" s="500"/>
      <c r="D24" s="500"/>
      <c r="E24" s="500"/>
      <c r="F24" s="500"/>
      <c r="G24" s="500"/>
      <c r="H24" s="501"/>
      <c r="I24" s="4">
        <v>126</v>
      </c>
      <c r="J24" s="8"/>
      <c r="K24" s="59">
        <f>SUM(K25:K26)</f>
        <v>16534</v>
      </c>
      <c r="L24" s="59">
        <f>SUM(L25:L26)</f>
        <v>126903</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16534</v>
      </c>
      <c r="L26" s="60">
        <v>126903</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6138</v>
      </c>
      <c r="L28" s="60">
        <v>10184</v>
      </c>
    </row>
    <row r="29" spans="1:12" s="3" customFormat="1" ht="13.5" customHeight="1">
      <c r="A29" s="499" t="s">
        <v>53</v>
      </c>
      <c r="B29" s="500"/>
      <c r="C29" s="500"/>
      <c r="D29" s="500"/>
      <c r="E29" s="500"/>
      <c r="F29" s="500"/>
      <c r="G29" s="500"/>
      <c r="H29" s="501"/>
      <c r="I29" s="4">
        <v>131</v>
      </c>
      <c r="J29" s="8"/>
      <c r="K29" s="59">
        <f>SUM(K30:K34)</f>
        <v>1399</v>
      </c>
      <c r="L29" s="59">
        <f>SUM(L30:L34)</f>
        <v>39699</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1399</v>
      </c>
      <c r="L31" s="60">
        <v>39699</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219565</v>
      </c>
      <c r="L35" s="59">
        <f>SUM(L36:L39)</f>
        <v>9844</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219565</v>
      </c>
      <c r="L37" s="60">
        <v>9844</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3206511</v>
      </c>
      <c r="L44" s="59">
        <f>L9+L29+L40+L42</f>
        <v>2877371</v>
      </c>
    </row>
    <row r="45" spans="1:12" s="3" customFormat="1" ht="13.5" customHeight="1">
      <c r="A45" s="499" t="s">
        <v>56</v>
      </c>
      <c r="B45" s="500"/>
      <c r="C45" s="500"/>
      <c r="D45" s="500"/>
      <c r="E45" s="500"/>
      <c r="F45" s="500"/>
      <c r="G45" s="500"/>
      <c r="H45" s="501"/>
      <c r="I45" s="4">
        <v>147</v>
      </c>
      <c r="J45" s="8"/>
      <c r="K45" s="59">
        <f>K12+K35+K41+K43</f>
        <v>3094352</v>
      </c>
      <c r="L45" s="59">
        <f>L12+L35+L41+L43</f>
        <v>2836536</v>
      </c>
    </row>
    <row r="46" spans="1:12" s="3" customFormat="1" ht="13.5" customHeight="1">
      <c r="A46" s="499" t="s">
        <v>1825</v>
      </c>
      <c r="B46" s="500"/>
      <c r="C46" s="500"/>
      <c r="D46" s="500"/>
      <c r="E46" s="500"/>
      <c r="F46" s="500"/>
      <c r="G46" s="500"/>
      <c r="H46" s="501"/>
      <c r="I46" s="4">
        <v>148</v>
      </c>
      <c r="J46" s="8"/>
      <c r="K46" s="59">
        <f>K44-K45</f>
        <v>112159</v>
      </c>
      <c r="L46" s="59">
        <f>L44-L45</f>
        <v>40835</v>
      </c>
    </row>
    <row r="47" spans="1:12" s="3" customFormat="1" ht="13.5" customHeight="1">
      <c r="A47" s="486" t="s">
        <v>58</v>
      </c>
      <c r="B47" s="487"/>
      <c r="C47" s="487"/>
      <c r="D47" s="487"/>
      <c r="E47" s="487"/>
      <c r="F47" s="487"/>
      <c r="G47" s="487"/>
      <c r="H47" s="488"/>
      <c r="I47" s="4">
        <v>149</v>
      </c>
      <c r="J47" s="8"/>
      <c r="K47" s="59">
        <f>IF(K44&gt;K45,K44-K45,0)</f>
        <v>112159</v>
      </c>
      <c r="L47" s="59">
        <f>IF(L44&gt;L45,L44-L45,0)</f>
        <v>40835</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33388</v>
      </c>
      <c r="L49" s="60">
        <v>18709</v>
      </c>
    </row>
    <row r="50" spans="1:12" s="3" customFormat="1" ht="13.5" customHeight="1">
      <c r="A50" s="499" t="s">
        <v>1826</v>
      </c>
      <c r="B50" s="500"/>
      <c r="C50" s="500"/>
      <c r="D50" s="500"/>
      <c r="E50" s="500"/>
      <c r="F50" s="500"/>
      <c r="G50" s="500"/>
      <c r="H50" s="501"/>
      <c r="I50" s="4">
        <v>152</v>
      </c>
      <c r="J50" s="8"/>
      <c r="K50" s="59">
        <f>K46-K49</f>
        <v>78771</v>
      </c>
      <c r="L50" s="59">
        <f>L46-L49</f>
        <v>22126</v>
      </c>
    </row>
    <row r="51" spans="1:12" s="3" customFormat="1" ht="13.5" customHeight="1">
      <c r="A51" s="486" t="s">
        <v>1021</v>
      </c>
      <c r="B51" s="487"/>
      <c r="C51" s="487"/>
      <c r="D51" s="487"/>
      <c r="E51" s="487"/>
      <c r="F51" s="487"/>
      <c r="G51" s="487"/>
      <c r="H51" s="488"/>
      <c r="I51" s="4">
        <v>153</v>
      </c>
      <c r="J51" s="8"/>
      <c r="K51" s="59">
        <f>IF(K50&gt;0,K50,0)</f>
        <v>78771</v>
      </c>
      <c r="L51" s="59">
        <f>IF(L50&gt;0,L50,0)</f>
        <v>22126</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9" activePane="bottomLeft" state="frozen"/>
      <selection pane="topLeft" activeCell="A1" sqref="A1"/>
      <selection pane="bottomLeft" activeCell="L134" sqref="L134"/>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1</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61539263602; REDEA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v>506933</v>
      </c>
      <c r="L11" s="60">
        <v>506933</v>
      </c>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v>806506</v>
      </c>
      <c r="L19" s="60">
        <v>759111</v>
      </c>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1313439</v>
      </c>
      <c r="L26" s="59">
        <f>SUM(L10:L25)</f>
        <v>1266044</v>
      </c>
    </row>
    <row r="27" spans="1:12" s="3" customFormat="1" ht="13.5" customHeight="1">
      <c r="A27" s="477" t="s">
        <v>1424</v>
      </c>
      <c r="B27" s="478"/>
      <c r="C27" s="478"/>
      <c r="D27" s="478"/>
      <c r="E27" s="478"/>
      <c r="F27" s="478"/>
      <c r="G27" s="478"/>
      <c r="H27" s="478"/>
      <c r="I27" s="564"/>
      <c r="J27" s="4">
        <v>188</v>
      </c>
      <c r="K27" s="60">
        <v>490933</v>
      </c>
      <c r="L27" s="60">
        <v>490933</v>
      </c>
    </row>
    <row r="28" spans="1:12" s="3" customFormat="1" ht="13.5" customHeight="1">
      <c r="A28" s="477" t="s">
        <v>1425</v>
      </c>
      <c r="B28" s="478"/>
      <c r="C28" s="478"/>
      <c r="D28" s="478"/>
      <c r="E28" s="478"/>
      <c r="F28" s="478"/>
      <c r="G28" s="478"/>
      <c r="H28" s="478"/>
      <c r="I28" s="564"/>
      <c r="J28" s="4">
        <v>189</v>
      </c>
      <c r="K28" s="60">
        <v>128333</v>
      </c>
      <c r="L28" s="60">
        <v>0</v>
      </c>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v>175674</v>
      </c>
      <c r="L35" s="60">
        <v>175674</v>
      </c>
    </row>
    <row r="36" spans="1:12" s="3" customFormat="1" ht="13.5" customHeight="1">
      <c r="A36" s="477" t="s">
        <v>1350</v>
      </c>
      <c r="B36" s="478"/>
      <c r="C36" s="478"/>
      <c r="D36" s="478"/>
      <c r="E36" s="478"/>
      <c r="F36" s="478"/>
      <c r="G36" s="478"/>
      <c r="H36" s="478"/>
      <c r="I36" s="564"/>
      <c r="J36" s="4">
        <v>197</v>
      </c>
      <c r="K36" s="60">
        <v>0</v>
      </c>
      <c r="L36" s="60">
        <v>0</v>
      </c>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v>4180</v>
      </c>
      <c r="L43" s="60">
        <v>4180</v>
      </c>
    </row>
    <row r="44" spans="1:12" s="3" customFormat="1" ht="13.5" customHeight="1">
      <c r="A44" s="477" t="s">
        <v>1358</v>
      </c>
      <c r="B44" s="478"/>
      <c r="C44" s="478"/>
      <c r="D44" s="478"/>
      <c r="E44" s="478"/>
      <c r="F44" s="478"/>
      <c r="G44" s="478"/>
      <c r="H44" s="478"/>
      <c r="I44" s="564"/>
      <c r="J44" s="4">
        <v>205</v>
      </c>
      <c r="K44" s="60">
        <v>4180</v>
      </c>
      <c r="L44" s="60">
        <v>4180</v>
      </c>
    </row>
    <row r="45" spans="1:12" s="3" customFormat="1" ht="13.5" customHeight="1">
      <c r="A45" s="499" t="s">
        <v>64</v>
      </c>
      <c r="B45" s="500"/>
      <c r="C45" s="500"/>
      <c r="D45" s="500"/>
      <c r="E45" s="500"/>
      <c r="F45" s="500"/>
      <c r="G45" s="500"/>
      <c r="H45" s="500"/>
      <c r="I45" s="570"/>
      <c r="J45" s="4">
        <v>206</v>
      </c>
      <c r="K45" s="59">
        <f>SUM(K27:K44)</f>
        <v>803300</v>
      </c>
      <c r="L45" s="59">
        <f>SUM(L27:L44)</f>
        <v>674967</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v>1746056</v>
      </c>
      <c r="L90" s="60">
        <v>1896674</v>
      </c>
    </row>
    <row r="91" spans="1:14" s="3" customFormat="1" ht="13.5" customHeight="1">
      <c r="A91" s="499" t="s">
        <v>69</v>
      </c>
      <c r="B91" s="500"/>
      <c r="C91" s="500"/>
      <c r="D91" s="500"/>
      <c r="E91" s="500"/>
      <c r="F91" s="500"/>
      <c r="G91" s="500"/>
      <c r="H91" s="500"/>
      <c r="I91" s="570"/>
      <c r="J91" s="4">
        <v>250</v>
      </c>
      <c r="K91" s="59">
        <f>SUM(K81:K90)</f>
        <v>1746056</v>
      </c>
      <c r="L91" s="59">
        <f>SUM(L81:L90)</f>
        <v>1896674</v>
      </c>
      <c r="N91" s="213"/>
    </row>
    <row r="92" spans="1:14" s="3" customFormat="1" ht="13.5" customHeight="1">
      <c r="A92" s="477" t="s">
        <v>1062</v>
      </c>
      <c r="B92" s="478"/>
      <c r="C92" s="478"/>
      <c r="D92" s="478"/>
      <c r="E92" s="478"/>
      <c r="F92" s="478"/>
      <c r="G92" s="478"/>
      <c r="H92" s="478"/>
      <c r="I92" s="564"/>
      <c r="J92" s="4">
        <v>251</v>
      </c>
      <c r="K92" s="60">
        <v>266133</v>
      </c>
      <c r="L92" s="60">
        <v>192521</v>
      </c>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266133</v>
      </c>
      <c r="L96" s="59">
        <f>SUM(L92:L95)</f>
        <v>192521</v>
      </c>
      <c r="N96" s="213"/>
    </row>
    <row r="97" spans="1:14" s="3" customFormat="1" ht="13.5" customHeight="1">
      <c r="A97" s="477" t="s">
        <v>0</v>
      </c>
      <c r="B97" s="478"/>
      <c r="C97" s="478"/>
      <c r="D97" s="478"/>
      <c r="E97" s="478"/>
      <c r="F97" s="478"/>
      <c r="G97" s="478"/>
      <c r="H97" s="478"/>
      <c r="I97" s="564"/>
      <c r="J97" s="4">
        <v>256</v>
      </c>
      <c r="K97" s="60">
        <v>1746056</v>
      </c>
      <c r="L97" s="60">
        <v>1896674</v>
      </c>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1746056</v>
      </c>
      <c r="L99" s="59">
        <f>SUM(L97:L98)</f>
        <v>1896674</v>
      </c>
      <c r="N99" s="213"/>
    </row>
    <row r="100" spans="1:12" s="3" customFormat="1" ht="13.5" customHeight="1">
      <c r="A100" s="477" t="s">
        <v>2</v>
      </c>
      <c r="B100" s="478"/>
      <c r="C100" s="478"/>
      <c r="D100" s="478"/>
      <c r="E100" s="478"/>
      <c r="F100" s="478"/>
      <c r="G100" s="478"/>
      <c r="H100" s="478"/>
      <c r="I100" s="581"/>
      <c r="J100" s="4">
        <v>259</v>
      </c>
      <c r="K100" s="60">
        <v>64881</v>
      </c>
      <c r="L100" s="60">
        <v>52329</v>
      </c>
    </row>
    <row r="101" spans="1:12" s="3" customFormat="1" ht="13.5" customHeight="1">
      <c r="A101" s="477" t="s">
        <v>3</v>
      </c>
      <c r="B101" s="478"/>
      <c r="C101" s="478"/>
      <c r="D101" s="478"/>
      <c r="E101" s="478"/>
      <c r="F101" s="478"/>
      <c r="G101" s="478"/>
      <c r="H101" s="478"/>
      <c r="I101" s="564"/>
      <c r="J101" s="4">
        <v>260</v>
      </c>
      <c r="K101" s="60">
        <v>2193</v>
      </c>
      <c r="L101" s="60">
        <v>1857</v>
      </c>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v>46104</v>
      </c>
      <c r="L105" s="60">
        <v>41857</v>
      </c>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v>2500</v>
      </c>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v>17332</v>
      </c>
      <c r="L110" s="60">
        <v>7150</v>
      </c>
    </row>
    <row r="111" spans="1:12" s="3" customFormat="1" ht="13.5" customHeight="1">
      <c r="A111" s="477" t="s">
        <v>948</v>
      </c>
      <c r="B111" s="478"/>
      <c r="C111" s="478"/>
      <c r="D111" s="478"/>
      <c r="E111" s="478"/>
      <c r="F111" s="478"/>
      <c r="G111" s="478"/>
      <c r="H111" s="478"/>
      <c r="I111" s="564"/>
      <c r="J111" s="4">
        <v>270</v>
      </c>
      <c r="K111" s="60">
        <v>1000</v>
      </c>
      <c r="L111" s="60">
        <v>1000</v>
      </c>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v>102109</v>
      </c>
      <c r="L115" s="60">
        <v>120004</v>
      </c>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v>500</v>
      </c>
      <c r="L117" s="60">
        <v>500</v>
      </c>
    </row>
    <row r="118" spans="1:12" s="3" customFormat="1" ht="13.5" customHeight="1">
      <c r="A118" s="499" t="s">
        <v>72</v>
      </c>
      <c r="B118" s="500"/>
      <c r="C118" s="500"/>
      <c r="D118" s="500"/>
      <c r="E118" s="500"/>
      <c r="F118" s="500"/>
      <c r="G118" s="500"/>
      <c r="H118" s="500"/>
      <c r="I118" s="570"/>
      <c r="J118" s="4">
        <v>277</v>
      </c>
      <c r="K118" s="59">
        <f>SUM(K100:K117)</f>
        <v>236619</v>
      </c>
      <c r="L118" s="59">
        <f>SUM(L100:L117)</f>
        <v>224697</v>
      </c>
    </row>
    <row r="119" spans="1:12" s="3" customFormat="1" ht="13.5" customHeight="1">
      <c r="A119" s="477" t="s">
        <v>26</v>
      </c>
      <c r="B119" s="478"/>
      <c r="C119" s="478"/>
      <c r="D119" s="478"/>
      <c r="E119" s="478"/>
      <c r="F119" s="478"/>
      <c r="G119" s="478"/>
      <c r="H119" s="478"/>
      <c r="I119" s="564"/>
      <c r="J119" s="4">
        <v>278</v>
      </c>
      <c r="K119" s="60">
        <v>609</v>
      </c>
      <c r="L119" s="60">
        <v>37917</v>
      </c>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609</v>
      </c>
      <c r="L122" s="59">
        <f>SUM(L119:L121)</f>
        <v>37917</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v>213010</v>
      </c>
      <c r="L128" s="60">
        <v>6506</v>
      </c>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v>264630</v>
      </c>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477640</v>
      </c>
      <c r="L134" s="71">
        <f>SUM(L128:L133)</f>
        <v>6506</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v>12</v>
      </c>
      <c r="L136" s="58">
        <v>13</v>
      </c>
    </row>
    <row r="137" spans="1:12" s="3" customFormat="1" ht="13.5" customHeight="1">
      <c r="A137" s="477" t="s">
        <v>144</v>
      </c>
      <c r="B137" s="478"/>
      <c r="C137" s="478"/>
      <c r="D137" s="478"/>
      <c r="E137" s="478"/>
      <c r="F137" s="478"/>
      <c r="G137" s="478"/>
      <c r="H137" s="478"/>
      <c r="I137" s="564"/>
      <c r="J137" s="4">
        <v>295</v>
      </c>
      <c r="K137" s="60">
        <v>12</v>
      </c>
      <c r="L137" s="60">
        <v>13</v>
      </c>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v>21134</v>
      </c>
      <c r="L139" s="60">
        <v>20740</v>
      </c>
    </row>
    <row r="140" spans="1:12" s="3" customFormat="1" ht="13.5" customHeight="1">
      <c r="A140" s="477" t="s">
        <v>147</v>
      </c>
      <c r="B140" s="478"/>
      <c r="C140" s="478"/>
      <c r="D140" s="478"/>
      <c r="E140" s="478"/>
      <c r="F140" s="478"/>
      <c r="G140" s="478"/>
      <c r="H140" s="478"/>
      <c r="I140" s="564"/>
      <c r="J140" s="4">
        <v>298</v>
      </c>
      <c r="K140" s="60">
        <v>2088</v>
      </c>
      <c r="L140" s="60">
        <v>2088</v>
      </c>
    </row>
    <row r="141" spans="1:12" s="3" customFormat="1" ht="13.5" customHeight="1">
      <c r="A141" s="499" t="s">
        <v>76</v>
      </c>
      <c r="B141" s="500"/>
      <c r="C141" s="500"/>
      <c r="D141" s="500"/>
      <c r="E141" s="500"/>
      <c r="F141" s="500"/>
      <c r="G141" s="500"/>
      <c r="H141" s="500"/>
      <c r="I141" s="570"/>
      <c r="J141" s="4">
        <v>299</v>
      </c>
      <c r="K141" s="59">
        <f>SUM(K136:K140)</f>
        <v>23246</v>
      </c>
      <c r="L141" s="59">
        <f>SUM(L136:L140)</f>
        <v>22854</v>
      </c>
    </row>
    <row r="142" spans="1:12" s="3" customFormat="1" ht="13.5" customHeight="1">
      <c r="A142" s="477" t="s">
        <v>148</v>
      </c>
      <c r="B142" s="478"/>
      <c r="C142" s="478"/>
      <c r="D142" s="478"/>
      <c r="E142" s="478"/>
      <c r="F142" s="478"/>
      <c r="G142" s="478"/>
      <c r="H142" s="478"/>
      <c r="I142" s="564"/>
      <c r="J142" s="4">
        <v>300</v>
      </c>
      <c r="K142" s="60">
        <v>1</v>
      </c>
      <c r="L142" s="60">
        <v>1</v>
      </c>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61539263602; REDEA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61539263602; REDEA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Lenovo</cp:lastModifiedBy>
  <cp:lastPrinted>2014-01-24T08:56:05Z</cp:lastPrinted>
  <dcterms:created xsi:type="dcterms:W3CDTF">2008-10-17T11:51:54Z</dcterms:created>
  <dcterms:modified xsi:type="dcterms:W3CDTF">2016-06-08T10:38:22Z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